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<sst xmlns="http://schemas.openxmlformats.org/spreadsheetml/2006/main" count="347" uniqueCount="172">
  <si>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</si>
  <si>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</si>
  <si>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</si>
  <si>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</si>
  <si>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</si>
  <si>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</si>
  <si>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</si>
  <si>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</si>
  <si>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</si>
  <si>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</si>
  <si>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</si>
  <si>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</si>
  <si>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</si>
  <si>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</si>
  <si>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</si>
  <si>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</si>
  <si>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</si>
  <si>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</si>
  <si>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</si>
  <si>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</si>
  <si>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</si>
  <si>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</si>
  <si>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</si>
  <si>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</si>
  <si>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</si>
  <si>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</si>
  <si>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</si>
  <si>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</si>
  <si>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</si>
  <si>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</si>
  <si>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</si>
  <si>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</si>
  <si>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</si>
  <si>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</si>
  <si>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</si>
  <si>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</si>
  <si>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</si>
  <si>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</si>
  <si>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</si>
  <si>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</si>
  <si>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</si>
  <si>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</si>
  <si>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</si>
  <si>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</si>
  <si>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</si>
  <si>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</si>
  <si>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</si>
  <si>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</si>
  <si>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</si>
  <si>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</si>
  <si>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</si>
  <si>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</si>
  <si>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</si>
  <si>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</si>
  <si>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</si>
  <si>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</si>
  <si>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</si>
  <si>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</si>
  <si>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</si>
  <si>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</si>
  <si>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</si>
  <si>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</si>
  <si>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</si>
  <si>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</si>
  <si>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</si>
  <si>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</si>
  <si>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</si>
  <si>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</si>
  <si>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</si>
  <si>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</si>
  <si>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</si>
  <si>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</si>
  <si>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</si>
  <si>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</si>
  <si>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</si>
  <si>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</si>
  <si>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</si>
  <si>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</si>
  <si>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</si>
  <si>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</si>
  <si>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</si>
  <si>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</si>
  <si>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</si>
  <si>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</si>
  <si>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</si>
  <si>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</si>
  <si>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</si>
  <si>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</si>
  <si>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</si>
  <si>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</si>
  <si>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</si>
  <si>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</si>
  <si>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</si>
  <si>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</si>
  <si>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</si>
  <si>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</si>
  <si>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</si>
  <si>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</si>
  <si>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</si>
  <si>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</si>
  <si>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</si>
  <si>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</si>
  <si>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</si>
  <si>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</si>
  <si>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</si>
  <si>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</si>
  <si>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</si>
  <si>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</si>
  <si>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</si>
  <si>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</si>
  <si>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</si>
  <si>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</si>
  <si>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</si>
  <si>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</si>
  <si>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</si>
  <si>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</si>
  <si>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</si>
  <si>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</si>
  <si>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</si>
  <si>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</si>
  <si>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</si>
  <si>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</si>
  <si>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</si>
  <si>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</si>
  <si>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</si>
  <si>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</si>
  <si>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</si>
  <si>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</si>
  <si>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</si>
  <si>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</si>
  <si>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</si>
  <si>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</si>
  <si>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</si>
  <si>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</si>
  <si>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</si>
  <si>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</si>
  <si>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</si>
  <si>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</si>
  <si>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</si>
  <si>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</si>
  <si>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</si>
  <si>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</si>
  <si>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</si>
  <si>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</si>
  <si>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</si>
  <si>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</si>
  <si>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</si>
  <si>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</si>
  <si>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</si>
  <si>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</si>
  <si>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</si>
  <si>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</si>
  <si>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</si>
  <si>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</si>
  <si>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</si>
  <si>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</si>
  <si>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</si>
  <si>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</si>
  <si>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</si>
  <si>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</si>
  <si>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січень-лютий</t>
    </r>
  </si>
  <si>
    <t>Відхилення (+,-) до  плану на січень-лютий 2018 року</t>
  </si>
  <si>
    <t>% виконання  плану на січень- лютий2018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</si>
  <si>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07.02.2018</t>
    </r>
    <r>
      <rPr>
        <b/>
        <sz val="16"/>
        <rFont val="Times New Roman"/>
        <family val="1"/>
      </rPr>
      <t>р.</t>
    </r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</si>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</sst>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5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4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4" fillId="39" borderId="10" xfId="0" applyNumberFormat="1" applyFont="1" applyFill="1" applyBorder="1" applyAlignment="1">
      <alignment/>
    </xf>
    <xf numFmtId="182" fontId="84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5" fillId="0" borderId="0" xfId="55" applyFont="1" applyAlignment="1" applyProtection="1">
      <alignment horizontal="center"/>
      <protection/>
    </xf>
    <xf numFmtId="0" fontId="85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6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5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Border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182" fontId="46" fillId="0" borderId="0" xfId="0" applyNumberFormat="1" applyFont="1" applyAlignment="1" applyProtection="1">
      <alignment/>
      <protection/>
    </xf>
    <xf numFmtId="0" fontId="85" fillId="0" borderId="0" xfId="55" applyFont="1" applyFill="1" applyBorder="1" applyAlignment="1" applyProtection="1">
      <alignment horizontal="right" vertical="center" wrapText="1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1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3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3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5" xfId="0" applyNumberFormat="1" applyFont="1" applyBorder="1" applyAlignment="1">
      <alignment/>
    </xf>
    <xf numFmtId="4" fontId="31" fillId="37" borderId="10" xfId="55" applyNumberFormat="1" applyFont="1" applyFill="1" applyBorder="1" applyAlignment="1" applyProtection="1">
      <alignment vertical="center"/>
      <protection/>
    </xf>
    <xf numFmtId="4" fontId="11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40" borderId="10" xfId="55" applyNumberFormat="1" applyFont="1" applyFill="1" applyBorder="1" applyProtection="1">
      <alignment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19">
        <row r="6">
          <cell r="G6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8"/>
  <sheetViews>
    <sheetView tabSelected="1" zoomScale="78" zoomScaleNormal="78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2.125" style="62" hidden="1" customWidth="1"/>
    <col min="5" max="5" width="14.50390625" style="4" customWidth="1"/>
    <col min="6" max="6" width="14.00390625" style="4" customWidth="1"/>
    <col min="7" max="7" width="13.875" style="94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90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1.00390625" style="4" hidden="1" customWidth="1"/>
    <col min="25" max="25" width="11.375" style="236" hidden="1" customWidth="1"/>
    <col min="26" max="16384" width="9.125" style="4" customWidth="1"/>
  </cols>
  <sheetData>
    <row r="1" spans="1:25" s="1" customFormat="1" ht="26.25" customHeight="1">
      <c r="A1" s="394" t="s">
        <v>163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236"/>
    </row>
    <row r="2" spans="2:25" s="1" customFormat="1" ht="15.75" customHeight="1">
      <c r="B2" s="395"/>
      <c r="C2" s="395"/>
      <c r="D2" s="395"/>
      <c r="E2" s="395"/>
      <c r="F2" s="362"/>
      <c r="G2" s="93"/>
      <c r="H2" s="2"/>
      <c r="I2" s="2"/>
      <c r="K2" s="1" t="s">
        <v>24</v>
      </c>
      <c r="Q2" s="239"/>
      <c r="T2" s="1" t="s">
        <v>24</v>
      </c>
      <c r="X2" s="16" t="s">
        <v>24</v>
      </c>
      <c r="Y2" s="236"/>
    </row>
    <row r="3" spans="1:25" s="3" customFormat="1" ht="13.5" customHeight="1">
      <c r="A3" s="396"/>
      <c r="B3" s="398"/>
      <c r="C3" s="399" t="s">
        <v>0</v>
      </c>
      <c r="D3" s="368" t="s">
        <v>164</v>
      </c>
      <c r="E3" s="368" t="s">
        <v>164</v>
      </c>
      <c r="F3" s="29"/>
      <c r="G3" s="400" t="s">
        <v>26</v>
      </c>
      <c r="H3" s="401"/>
      <c r="I3" s="401"/>
      <c r="J3" s="401"/>
      <c r="K3" s="402"/>
      <c r="L3" s="78" t="s">
        <v>128</v>
      </c>
      <c r="M3" s="78"/>
      <c r="N3" s="78"/>
      <c r="O3" s="78" t="s">
        <v>128</v>
      </c>
      <c r="P3" s="78"/>
      <c r="Q3" s="240"/>
      <c r="R3" s="78"/>
      <c r="S3" s="78"/>
      <c r="T3" s="78"/>
      <c r="U3" s="403" t="s">
        <v>159</v>
      </c>
      <c r="V3" s="404" t="s">
        <v>170</v>
      </c>
      <c r="W3" s="404"/>
      <c r="X3" s="404"/>
      <c r="Y3" s="260"/>
    </row>
    <row r="4" spans="1:24" ht="22.5" customHeight="1">
      <c r="A4" s="396"/>
      <c r="B4" s="398"/>
      <c r="C4" s="399"/>
      <c r="D4" s="368"/>
      <c r="E4" s="368"/>
      <c r="F4" s="405" t="s">
        <v>160</v>
      </c>
      <c r="G4" s="388" t="s">
        <v>31</v>
      </c>
      <c r="H4" s="377" t="s">
        <v>161</v>
      </c>
      <c r="I4" s="390" t="s">
        <v>162</v>
      </c>
      <c r="J4" s="377" t="s">
        <v>165</v>
      </c>
      <c r="K4" s="390" t="s">
        <v>166</v>
      </c>
      <c r="L4" s="80" t="s">
        <v>167</v>
      </c>
      <c r="M4" s="167" t="s">
        <v>105</v>
      </c>
      <c r="N4" s="82" t="s">
        <v>61</v>
      </c>
      <c r="O4" s="80" t="s">
        <v>155</v>
      </c>
      <c r="P4" s="167" t="s">
        <v>105</v>
      </c>
      <c r="Q4" s="241" t="s">
        <v>61</v>
      </c>
      <c r="R4" s="80" t="s">
        <v>155</v>
      </c>
      <c r="S4" s="167" t="s">
        <v>105</v>
      </c>
      <c r="T4" s="82" t="s">
        <v>61</v>
      </c>
      <c r="U4" s="390"/>
      <c r="V4" s="392" t="s">
        <v>171</v>
      </c>
      <c r="W4" s="377" t="s">
        <v>47</v>
      </c>
      <c r="X4" s="379" t="s">
        <v>46</v>
      </c>
    </row>
    <row r="5" spans="1:24" ht="67.5" customHeight="1">
      <c r="A5" s="397"/>
      <c r="B5" s="398"/>
      <c r="C5" s="399"/>
      <c r="D5" s="368"/>
      <c r="E5" s="368"/>
      <c r="F5" s="406"/>
      <c r="G5" s="389"/>
      <c r="H5" s="378"/>
      <c r="I5" s="391"/>
      <c r="J5" s="378"/>
      <c r="K5" s="391"/>
      <c r="L5" s="380" t="s">
        <v>168</v>
      </c>
      <c r="M5" s="381"/>
      <c r="N5" s="382"/>
      <c r="O5" s="383" t="s">
        <v>154</v>
      </c>
      <c r="P5" s="384"/>
      <c r="Q5" s="385"/>
      <c r="R5" s="386" t="s">
        <v>169</v>
      </c>
      <c r="S5" s="386"/>
      <c r="T5" s="386"/>
      <c r="U5" s="391"/>
      <c r="V5" s="393"/>
      <c r="W5" s="378"/>
      <c r="X5" s="379"/>
    </row>
    <row r="6" spans="1:24" ht="15.75" customHeight="1">
      <c r="A6" s="5" t="s">
        <v>1</v>
      </c>
      <c r="B6" s="10" t="s">
        <v>2</v>
      </c>
      <c r="C6" s="55" t="s">
        <v>3</v>
      </c>
      <c r="D6" s="55"/>
      <c r="E6" s="10" t="s">
        <v>4</v>
      </c>
      <c r="F6" s="10" t="s">
        <v>5</v>
      </c>
      <c r="G6" s="113" t="s">
        <v>6</v>
      </c>
      <c r="H6" s="10" t="s">
        <v>7</v>
      </c>
      <c r="I6" s="10" t="s">
        <v>36</v>
      </c>
      <c r="J6" s="10" t="s">
        <v>58</v>
      </c>
      <c r="K6" s="10" t="s">
        <v>8</v>
      </c>
      <c r="L6" s="10"/>
      <c r="M6" s="10"/>
      <c r="N6" s="10"/>
      <c r="O6" s="10"/>
      <c r="P6" s="10"/>
      <c r="Q6" s="242"/>
      <c r="R6" s="10" t="s">
        <v>25</v>
      </c>
      <c r="S6" s="10"/>
      <c r="T6" s="10" t="s">
        <v>63</v>
      </c>
      <c r="U6" s="10" t="s">
        <v>64</v>
      </c>
      <c r="V6" s="118" t="s">
        <v>65</v>
      </c>
      <c r="W6" s="10" t="s">
        <v>66</v>
      </c>
      <c r="X6" s="10" t="s">
        <v>67</v>
      </c>
    </row>
    <row r="7" spans="1:24" ht="15.75" customHeight="1">
      <c r="A7" s="17"/>
      <c r="B7" s="18" t="s">
        <v>27</v>
      </c>
      <c r="C7" s="55"/>
      <c r="D7" s="55"/>
      <c r="E7" s="10"/>
      <c r="F7" s="10"/>
      <c r="G7" s="113"/>
      <c r="H7" s="10"/>
      <c r="I7" s="10"/>
      <c r="J7" s="10"/>
      <c r="K7" s="10"/>
      <c r="L7" s="10"/>
      <c r="M7" s="10"/>
      <c r="N7" s="10"/>
      <c r="O7" s="10"/>
      <c r="P7" s="10"/>
      <c r="Q7" s="242"/>
      <c r="R7" s="10"/>
      <c r="S7" s="10"/>
      <c r="T7" s="10"/>
      <c r="U7" s="10"/>
      <c r="V7" s="118"/>
      <c r="W7" s="10"/>
      <c r="X7" s="10"/>
    </row>
    <row r="8" spans="1:25" s="6" customFormat="1" ht="17.25">
      <c r="A8" s="7"/>
      <c r="B8" s="126" t="s">
        <v>9</v>
      </c>
      <c r="C8" s="65" t="s">
        <v>10</v>
      </c>
      <c r="D8" s="14">
        <f>D9+D15+D18+D19+D23+D17</f>
        <v>1580633.8</v>
      </c>
      <c r="E8" s="124">
        <f>E9+E15+E18+E19+E23+E17</f>
        <v>1580633.8</v>
      </c>
      <c r="F8" s="124">
        <f>F9+F15+F18+F19+F23+F17</f>
        <v>229458.01</v>
      </c>
      <c r="G8" s="124">
        <f>G9+G15+G18+G19+G23+G17</f>
        <v>127303.45999999999</v>
      </c>
      <c r="H8" s="124">
        <f>G8-F8</f>
        <v>-102154.55000000002</v>
      </c>
      <c r="I8" s="278">
        <f aca="true" t="shared" si="0" ref="I8:I15">G8/F8</f>
        <v>0.5548006800895727</v>
      </c>
      <c r="J8" s="125">
        <f aca="true" t="shared" si="1" ref="J8:J52">G8-E8</f>
        <v>-1453330.34</v>
      </c>
      <c r="K8" s="181">
        <f aca="true" t="shared" si="2" ref="K8:K14">G8/E8</f>
        <v>0.0805395025716899</v>
      </c>
      <c r="L8" s="125"/>
      <c r="M8" s="125"/>
      <c r="N8" s="125"/>
      <c r="O8" s="125">
        <v>1329586.12</v>
      </c>
      <c r="P8" s="125">
        <f aca="true" t="shared" si="3" ref="P8:P51">E8-O8</f>
        <v>251047.67999999993</v>
      </c>
      <c r="Q8" s="181">
        <f aca="true" t="shared" si="4" ref="Q8:Q51">E8/O8</f>
        <v>1.188816411531131</v>
      </c>
      <c r="R8" s="124">
        <v>194831.46</v>
      </c>
      <c r="S8" s="124">
        <f aca="true" t="shared" si="5" ref="S8:S78">G8-R8</f>
        <v>-67528</v>
      </c>
      <c r="T8" s="168">
        <f aca="true" t="shared" si="6" ref="T8:T20">G8/R8</f>
        <v>0.6534029976472998</v>
      </c>
      <c r="U8" s="124">
        <f>U9+U15+U18+U19+U23+U17</f>
        <v>229458.01</v>
      </c>
      <c r="V8" s="124">
        <f>V9+V15+V18+V19+V23+V17</f>
        <v>127303.45999999999</v>
      </c>
      <c r="W8" s="124">
        <f>V8-U8</f>
        <v>-102154.55000000002</v>
      </c>
      <c r="X8" s="168">
        <f aca="true" t="shared" si="7" ref="X8:X15">V8/U8</f>
        <v>0.5548006800895727</v>
      </c>
      <c r="Y8" s="266">
        <f aca="true" t="shared" si="8" ref="Y8:Y22">T8-Q8</f>
        <v>-0.5354134138838312</v>
      </c>
    </row>
    <row r="9" spans="1:25" s="6" customFormat="1" ht="18">
      <c r="A9" s="8"/>
      <c r="B9" s="108" t="s">
        <v>74</v>
      </c>
      <c r="C9" s="38">
        <v>11010000</v>
      </c>
      <c r="D9" s="342">
        <v>956203</v>
      </c>
      <c r="E9" s="123">
        <v>956203</v>
      </c>
      <c r="F9" s="123">
        <v>133224.71</v>
      </c>
      <c r="G9" s="127">
        <v>72498.08</v>
      </c>
      <c r="H9" s="123">
        <f>G9-F9</f>
        <v>-60726.62999999999</v>
      </c>
      <c r="I9" s="276">
        <f t="shared" si="0"/>
        <v>0.5441789289689578</v>
      </c>
      <c r="J9" s="129">
        <f t="shared" si="1"/>
        <v>-883704.92</v>
      </c>
      <c r="K9" s="173">
        <f t="shared" si="2"/>
        <v>0.07581871213539385</v>
      </c>
      <c r="L9" s="129"/>
      <c r="M9" s="129"/>
      <c r="N9" s="129"/>
      <c r="O9" s="129">
        <v>775821.8</v>
      </c>
      <c r="P9" s="129">
        <f t="shared" si="3"/>
        <v>180381.19999999995</v>
      </c>
      <c r="Q9" s="173">
        <f t="shared" si="4"/>
        <v>1.2325033918871575</v>
      </c>
      <c r="R9" s="187">
        <v>101885.94</v>
      </c>
      <c r="S9" s="130">
        <f t="shared" si="5"/>
        <v>-29387.86</v>
      </c>
      <c r="T9" s="169">
        <f t="shared" si="6"/>
        <v>0.7115611830248609</v>
      </c>
      <c r="U9" s="128">
        <f>F9-0</f>
        <v>133224.71</v>
      </c>
      <c r="V9" s="131">
        <f>G9-0</f>
        <v>72498.08</v>
      </c>
      <c r="W9" s="132">
        <f>V9-U9</f>
        <v>-60726.62999999999</v>
      </c>
      <c r="X9" s="173">
        <f t="shared" si="7"/>
        <v>0.5441789289689578</v>
      </c>
      <c r="Y9" s="267">
        <f t="shared" si="8"/>
        <v>-0.5209422088622966</v>
      </c>
    </row>
    <row r="10" spans="1:25" s="6" customFormat="1" ht="15" customHeight="1" hidden="1">
      <c r="A10" s="8"/>
      <c r="B10" s="99" t="s">
        <v>84</v>
      </c>
      <c r="C10" s="86">
        <v>11010100</v>
      </c>
      <c r="D10" s="343">
        <v>881803</v>
      </c>
      <c r="E10" s="87">
        <v>881803</v>
      </c>
      <c r="F10" s="87">
        <v>121484.71</v>
      </c>
      <c r="G10" s="115">
        <v>67140.94</v>
      </c>
      <c r="H10" s="87">
        <f aca="true" t="shared" si="9" ref="H10:H47">G10-F10</f>
        <v>-54343.770000000004</v>
      </c>
      <c r="I10" s="277">
        <f t="shared" si="0"/>
        <v>0.5526698791971434</v>
      </c>
      <c r="J10" s="88">
        <f t="shared" si="1"/>
        <v>-814662.06</v>
      </c>
      <c r="K10" s="91">
        <f t="shared" si="2"/>
        <v>0.07614052118216881</v>
      </c>
      <c r="L10" s="88"/>
      <c r="M10" s="88"/>
      <c r="N10" s="88"/>
      <c r="O10" s="88">
        <v>709899.75</v>
      </c>
      <c r="P10" s="88">
        <f t="shared" si="3"/>
        <v>171903.25</v>
      </c>
      <c r="Q10" s="91">
        <f t="shared" si="4"/>
        <v>1.2421514446229909</v>
      </c>
      <c r="R10" s="90">
        <v>92726.64</v>
      </c>
      <c r="S10" s="90">
        <f t="shared" si="5"/>
        <v>-25585.699999999997</v>
      </c>
      <c r="T10" s="170">
        <f t="shared" si="6"/>
        <v>0.7240739015238771</v>
      </c>
      <c r="U10" s="89">
        <f aca="true" t="shared" si="10" ref="U10:V52">F10</f>
        <v>121484.71</v>
      </c>
      <c r="V10" s="119">
        <f t="shared" si="10"/>
        <v>67140.94</v>
      </c>
      <c r="W10" s="90">
        <f aca="true" t="shared" si="11" ref="W10:W52">V10-U10</f>
        <v>-54343.770000000004</v>
      </c>
      <c r="X10" s="91">
        <f t="shared" si="7"/>
        <v>0.5526698791971434</v>
      </c>
      <c r="Y10" s="265">
        <f t="shared" si="8"/>
        <v>-0.5180775430991138</v>
      </c>
    </row>
    <row r="11" spans="1:25" s="6" customFormat="1" ht="15" customHeight="1" hidden="1">
      <c r="A11" s="8"/>
      <c r="B11" s="99" t="s">
        <v>80</v>
      </c>
      <c r="C11" s="86">
        <v>11010200</v>
      </c>
      <c r="D11" s="343">
        <v>49900</v>
      </c>
      <c r="E11" s="87">
        <v>49900</v>
      </c>
      <c r="F11" s="87">
        <v>8400</v>
      </c>
      <c r="G11" s="115">
        <v>3495.7</v>
      </c>
      <c r="H11" s="87">
        <f t="shared" si="9"/>
        <v>-4904.3</v>
      </c>
      <c r="I11" s="277">
        <f t="shared" si="0"/>
        <v>0.41615476190476186</v>
      </c>
      <c r="J11" s="88">
        <f t="shared" si="1"/>
        <v>-46404.3</v>
      </c>
      <c r="K11" s="91">
        <f t="shared" si="2"/>
        <v>0.07005410821643286</v>
      </c>
      <c r="L11" s="88"/>
      <c r="M11" s="88"/>
      <c r="N11" s="88"/>
      <c r="O11" s="88">
        <v>42516.41</v>
      </c>
      <c r="P11" s="88">
        <f t="shared" si="3"/>
        <v>7383.5899999999965</v>
      </c>
      <c r="Q11" s="91">
        <f t="shared" si="4"/>
        <v>1.1736644744934954</v>
      </c>
      <c r="R11" s="90">
        <v>5895.26</v>
      </c>
      <c r="S11" s="90">
        <f t="shared" si="5"/>
        <v>-2399.5600000000004</v>
      </c>
      <c r="T11" s="170">
        <f t="shared" si="6"/>
        <v>0.5929679098122899</v>
      </c>
      <c r="U11" s="89">
        <f t="shared" si="10"/>
        <v>8400</v>
      </c>
      <c r="V11" s="119">
        <f t="shared" si="10"/>
        <v>3495.7</v>
      </c>
      <c r="W11" s="90">
        <f t="shared" si="11"/>
        <v>-4904.3</v>
      </c>
      <c r="X11" s="91">
        <f t="shared" si="7"/>
        <v>0.41615476190476186</v>
      </c>
      <c r="Y11" s="265">
        <f t="shared" si="8"/>
        <v>-0.5806965646812056</v>
      </c>
    </row>
    <row r="12" spans="1:25" s="6" customFormat="1" ht="15" customHeight="1" hidden="1">
      <c r="A12" s="8"/>
      <c r="B12" s="99" t="s">
        <v>83</v>
      </c>
      <c r="C12" s="86">
        <v>11010400</v>
      </c>
      <c r="D12" s="343">
        <v>12000</v>
      </c>
      <c r="E12" s="87">
        <v>12000</v>
      </c>
      <c r="F12" s="87">
        <v>1240</v>
      </c>
      <c r="G12" s="115">
        <v>934.9</v>
      </c>
      <c r="H12" s="87">
        <f t="shared" si="9"/>
        <v>-305.1</v>
      </c>
      <c r="I12" s="277">
        <f t="shared" si="0"/>
        <v>0.7539516129032258</v>
      </c>
      <c r="J12" s="88">
        <f t="shared" si="1"/>
        <v>-11065.1</v>
      </c>
      <c r="K12" s="91">
        <f t="shared" si="2"/>
        <v>0.07790833333333333</v>
      </c>
      <c r="L12" s="88"/>
      <c r="M12" s="88"/>
      <c r="N12" s="88"/>
      <c r="O12" s="88">
        <v>11992.15</v>
      </c>
      <c r="P12" s="88">
        <f t="shared" si="3"/>
        <v>7.850000000000364</v>
      </c>
      <c r="Q12" s="91">
        <f t="shared" si="4"/>
        <v>1.0006545948808179</v>
      </c>
      <c r="R12" s="90">
        <v>1037.42</v>
      </c>
      <c r="S12" s="90">
        <f t="shared" si="5"/>
        <v>-102.5200000000001</v>
      </c>
      <c r="T12" s="170">
        <f t="shared" si="6"/>
        <v>0.9011779221530334</v>
      </c>
      <c r="U12" s="89">
        <f t="shared" si="10"/>
        <v>1240</v>
      </c>
      <c r="V12" s="119">
        <f t="shared" si="10"/>
        <v>934.9</v>
      </c>
      <c r="W12" s="90">
        <f t="shared" si="11"/>
        <v>-305.1</v>
      </c>
      <c r="X12" s="91">
        <f t="shared" si="7"/>
        <v>0.7539516129032258</v>
      </c>
      <c r="Y12" s="265">
        <f t="shared" si="8"/>
        <v>-0.09947667272778449</v>
      </c>
    </row>
    <row r="13" spans="1:25" s="6" customFormat="1" ht="15" customHeight="1" hidden="1">
      <c r="A13" s="8"/>
      <c r="B13" s="99" t="s">
        <v>81</v>
      </c>
      <c r="C13" s="86">
        <v>11010500</v>
      </c>
      <c r="D13" s="343">
        <v>12000</v>
      </c>
      <c r="E13" s="87">
        <v>12000</v>
      </c>
      <c r="F13" s="87">
        <v>2000</v>
      </c>
      <c r="G13" s="115">
        <v>723.41</v>
      </c>
      <c r="H13" s="87">
        <f t="shared" si="9"/>
        <v>-1276.5900000000001</v>
      </c>
      <c r="I13" s="277">
        <f t="shared" si="0"/>
        <v>0.361705</v>
      </c>
      <c r="J13" s="88">
        <f t="shared" si="1"/>
        <v>-11276.59</v>
      </c>
      <c r="K13" s="91">
        <f t="shared" si="2"/>
        <v>0.060284166666666666</v>
      </c>
      <c r="L13" s="88"/>
      <c r="M13" s="88"/>
      <c r="N13" s="88"/>
      <c r="O13" s="88">
        <v>10036.81</v>
      </c>
      <c r="P13" s="88">
        <f t="shared" si="3"/>
        <v>1963.1900000000005</v>
      </c>
      <c r="Q13" s="91">
        <f t="shared" si="4"/>
        <v>1.195599000080703</v>
      </c>
      <c r="R13" s="90">
        <v>2028.32</v>
      </c>
      <c r="S13" s="90">
        <f t="shared" si="5"/>
        <v>-1304.9099999999999</v>
      </c>
      <c r="T13" s="170">
        <f t="shared" si="6"/>
        <v>0.3566547684783466</v>
      </c>
      <c r="U13" s="89">
        <f t="shared" si="10"/>
        <v>2000</v>
      </c>
      <c r="V13" s="119">
        <f t="shared" si="10"/>
        <v>723.41</v>
      </c>
      <c r="W13" s="90">
        <f t="shared" si="11"/>
        <v>-1276.5900000000001</v>
      </c>
      <c r="X13" s="91">
        <f t="shared" si="7"/>
        <v>0.361705</v>
      </c>
      <c r="Y13" s="265">
        <f t="shared" si="8"/>
        <v>-0.8389442316023565</v>
      </c>
    </row>
    <row r="14" spans="1:25" s="6" customFormat="1" ht="15" customHeight="1" hidden="1">
      <c r="A14" s="8"/>
      <c r="B14" s="99" t="s">
        <v>82</v>
      </c>
      <c r="C14" s="86">
        <v>11010900</v>
      </c>
      <c r="D14" s="343">
        <v>500</v>
      </c>
      <c r="E14" s="87">
        <v>500</v>
      </c>
      <c r="F14" s="87">
        <v>100</v>
      </c>
      <c r="G14" s="115">
        <v>203.13</v>
      </c>
      <c r="H14" s="87">
        <f t="shared" si="9"/>
        <v>103.13</v>
      </c>
      <c r="I14" s="277">
        <f t="shared" si="0"/>
        <v>2.0313</v>
      </c>
      <c r="J14" s="88">
        <f t="shared" si="1"/>
        <v>-296.87</v>
      </c>
      <c r="K14" s="91">
        <f t="shared" si="2"/>
        <v>0.40626</v>
      </c>
      <c r="L14" s="88"/>
      <c r="M14" s="88"/>
      <c r="N14" s="88"/>
      <c r="O14" s="88">
        <v>1376.68</v>
      </c>
      <c r="P14" s="88">
        <f t="shared" si="3"/>
        <v>-876.6800000000001</v>
      </c>
      <c r="Q14" s="91">
        <f t="shared" si="4"/>
        <v>0.36319260830403577</v>
      </c>
      <c r="R14" s="90">
        <v>198.31</v>
      </c>
      <c r="S14" s="90">
        <f t="shared" si="5"/>
        <v>4.819999999999993</v>
      </c>
      <c r="T14" s="170">
        <f t="shared" si="6"/>
        <v>1.0243053804649287</v>
      </c>
      <c r="U14" s="89">
        <f t="shared" si="10"/>
        <v>100</v>
      </c>
      <c r="V14" s="119">
        <f t="shared" si="10"/>
        <v>203.13</v>
      </c>
      <c r="W14" s="90">
        <f t="shared" si="11"/>
        <v>103.13</v>
      </c>
      <c r="X14" s="91">
        <f t="shared" si="7"/>
        <v>2.0313</v>
      </c>
      <c r="Y14" s="265">
        <f t="shared" si="8"/>
        <v>0.6611127721608929</v>
      </c>
    </row>
    <row r="15" spans="1:25" s="6" customFormat="1" ht="30.75">
      <c r="A15" s="8"/>
      <c r="B15" s="109" t="s">
        <v>11</v>
      </c>
      <c r="C15" s="38">
        <v>11020200</v>
      </c>
      <c r="D15" s="342">
        <v>900</v>
      </c>
      <c r="E15" s="123">
        <v>900</v>
      </c>
      <c r="F15" s="123">
        <v>13</v>
      </c>
      <c r="G15" s="127">
        <v>0.2</v>
      </c>
      <c r="H15" s="123">
        <f t="shared" si="9"/>
        <v>-12.8</v>
      </c>
      <c r="I15" s="276">
        <f t="shared" si="0"/>
        <v>0.015384615384615385</v>
      </c>
      <c r="J15" s="129">
        <f t="shared" si="1"/>
        <v>-899.8</v>
      </c>
      <c r="K15" s="129">
        <f aca="true" t="shared" si="12" ref="K15:K23">G15/E15*100</f>
        <v>0.022222222222222223</v>
      </c>
      <c r="L15" s="129"/>
      <c r="M15" s="129"/>
      <c r="N15" s="129"/>
      <c r="O15" s="129">
        <v>887.61</v>
      </c>
      <c r="P15" s="129">
        <f t="shared" si="3"/>
        <v>12.389999999999986</v>
      </c>
      <c r="Q15" s="173">
        <f t="shared" si="4"/>
        <v>1.0139588332713692</v>
      </c>
      <c r="R15" s="132">
        <v>13.91</v>
      </c>
      <c r="S15" s="132">
        <f t="shared" si="5"/>
        <v>-13.71</v>
      </c>
      <c r="T15" s="171">
        <f t="shared" si="6"/>
        <v>0.014378145219266716</v>
      </c>
      <c r="U15" s="128">
        <f t="shared" si="10"/>
        <v>13</v>
      </c>
      <c r="V15" s="131">
        <f t="shared" si="10"/>
        <v>0.2</v>
      </c>
      <c r="W15" s="132">
        <f t="shared" si="11"/>
        <v>-12.8</v>
      </c>
      <c r="X15" s="173">
        <f t="shared" si="7"/>
        <v>0.015384615384615385</v>
      </c>
      <c r="Y15" s="264">
        <f t="shared" si="8"/>
        <v>-0.9995806880521024</v>
      </c>
    </row>
    <row r="16" spans="1:25" s="6" customFormat="1" ht="18" customHeight="1" hidden="1">
      <c r="A16" s="8"/>
      <c r="B16" s="262" t="s">
        <v>62</v>
      </c>
      <c r="C16" s="86">
        <v>11010232</v>
      </c>
      <c r="D16" s="343"/>
      <c r="E16" s="87">
        <v>0</v>
      </c>
      <c r="F16" s="123">
        <f>E16</f>
        <v>0</v>
      </c>
      <c r="G16" s="115">
        <v>0</v>
      </c>
      <c r="H16" s="123">
        <f t="shared" si="9"/>
        <v>0</v>
      </c>
      <c r="I16" s="276" t="e">
        <f>G16/F16/100</f>
        <v>#DIV/0!</v>
      </c>
      <c r="J16" s="129">
        <f t="shared" si="1"/>
        <v>0</v>
      </c>
      <c r="K16" s="129" t="e">
        <f t="shared" si="12"/>
        <v>#DIV/0!</v>
      </c>
      <c r="L16" s="129"/>
      <c r="M16" s="129"/>
      <c r="N16" s="129"/>
      <c r="O16" s="129"/>
      <c r="P16" s="129">
        <f t="shared" si="3"/>
        <v>0</v>
      </c>
      <c r="Q16" s="173" t="e">
        <f t="shared" si="4"/>
        <v>#DIV/0!</v>
      </c>
      <c r="R16" s="132">
        <f>O16</f>
        <v>0</v>
      </c>
      <c r="S16" s="132">
        <f t="shared" si="5"/>
        <v>0</v>
      </c>
      <c r="T16" s="171" t="e">
        <f t="shared" si="6"/>
        <v>#DIV/0!</v>
      </c>
      <c r="U16" s="128">
        <f t="shared" si="10"/>
        <v>0</v>
      </c>
      <c r="V16" s="131">
        <f t="shared" si="10"/>
        <v>0</v>
      </c>
      <c r="W16" s="132">
        <f t="shared" si="11"/>
        <v>0</v>
      </c>
      <c r="X16" s="173" t="e">
        <f>V16/U16*100</f>
        <v>#DIV/0!</v>
      </c>
      <c r="Y16" s="264" t="e">
        <f t="shared" si="8"/>
        <v>#DIV/0!</v>
      </c>
    </row>
    <row r="17" spans="1:25" s="6" customFormat="1" ht="30.75" customHeight="1">
      <c r="A17" s="8"/>
      <c r="B17" s="185" t="s">
        <v>107</v>
      </c>
      <c r="C17" s="98">
        <v>13010200</v>
      </c>
      <c r="D17" s="344"/>
      <c r="E17" s="133">
        <v>0</v>
      </c>
      <c r="F17" s="123">
        <f>E17</f>
        <v>0</v>
      </c>
      <c r="G17" s="134">
        <v>0</v>
      </c>
      <c r="H17" s="123">
        <f t="shared" si="9"/>
        <v>0</v>
      </c>
      <c r="I17" s="276"/>
      <c r="J17" s="129">
        <f t="shared" si="1"/>
        <v>0</v>
      </c>
      <c r="K17" s="129"/>
      <c r="L17" s="129"/>
      <c r="M17" s="129"/>
      <c r="N17" s="129"/>
      <c r="O17" s="129">
        <v>0.49</v>
      </c>
      <c r="P17" s="129">
        <f t="shared" si="3"/>
        <v>-0.49</v>
      </c>
      <c r="Q17" s="173">
        <f t="shared" si="4"/>
        <v>0</v>
      </c>
      <c r="R17" s="132">
        <v>0</v>
      </c>
      <c r="S17" s="132">
        <f t="shared" si="5"/>
        <v>0</v>
      </c>
      <c r="T17" s="171" t="e">
        <f t="shared" si="6"/>
        <v>#DIV/0!</v>
      </c>
      <c r="U17" s="128">
        <f t="shared" si="10"/>
        <v>0</v>
      </c>
      <c r="V17" s="131">
        <f t="shared" si="10"/>
        <v>0</v>
      </c>
      <c r="W17" s="132">
        <f t="shared" si="11"/>
        <v>0</v>
      </c>
      <c r="X17" s="173"/>
      <c r="Y17" s="264" t="e">
        <f t="shared" si="8"/>
        <v>#DIV/0!</v>
      </c>
    </row>
    <row r="18" spans="1:25" s="6" customFormat="1" ht="30.75">
      <c r="A18" s="8"/>
      <c r="B18" s="108" t="s">
        <v>108</v>
      </c>
      <c r="C18" s="98">
        <v>13030200</v>
      </c>
      <c r="D18" s="344">
        <v>235.6</v>
      </c>
      <c r="E18" s="123">
        <v>235.6</v>
      </c>
      <c r="F18" s="123">
        <v>110</v>
      </c>
      <c r="G18" s="127">
        <v>0</v>
      </c>
      <c r="H18" s="123">
        <f t="shared" si="9"/>
        <v>-110</v>
      </c>
      <c r="I18" s="276">
        <f aca="true" t="shared" si="13" ref="I18:I41">G18/F18</f>
        <v>0</v>
      </c>
      <c r="J18" s="129">
        <f t="shared" si="1"/>
        <v>-235.6</v>
      </c>
      <c r="K18" s="129">
        <f t="shared" si="12"/>
        <v>0</v>
      </c>
      <c r="L18" s="129"/>
      <c r="M18" s="129"/>
      <c r="N18" s="129"/>
      <c r="O18" s="129">
        <v>220.59</v>
      </c>
      <c r="P18" s="129">
        <f t="shared" si="3"/>
        <v>15.009999999999991</v>
      </c>
      <c r="Q18" s="173">
        <f t="shared" si="4"/>
        <v>1.0680447889750215</v>
      </c>
      <c r="R18" s="132">
        <v>0</v>
      </c>
      <c r="S18" s="132">
        <f t="shared" si="5"/>
        <v>0</v>
      </c>
      <c r="T18" s="171" t="e">
        <f t="shared" si="6"/>
        <v>#DIV/0!</v>
      </c>
      <c r="U18" s="128">
        <f t="shared" si="10"/>
        <v>110</v>
      </c>
      <c r="V18" s="131">
        <f t="shared" si="10"/>
        <v>0</v>
      </c>
      <c r="W18" s="132">
        <f t="shared" si="11"/>
        <v>-110</v>
      </c>
      <c r="X18" s="173">
        <f aca="true" t="shared" si="14" ref="X18:X25">V18/U18</f>
        <v>0</v>
      </c>
      <c r="Y18" s="264" t="e">
        <f t="shared" si="8"/>
        <v>#DIV/0!</v>
      </c>
    </row>
    <row r="19" spans="1:25" s="6" customFormat="1" ht="18">
      <c r="A19" s="8"/>
      <c r="B19" s="108" t="s">
        <v>120</v>
      </c>
      <c r="C19" s="38"/>
      <c r="D19" s="342">
        <f>D20+D21+D22</f>
        <v>151728</v>
      </c>
      <c r="E19" s="123">
        <f>E20+E21+E22</f>
        <v>151728</v>
      </c>
      <c r="F19" s="123">
        <f>F20+F21+F22</f>
        <v>9000</v>
      </c>
      <c r="G19" s="184">
        <v>5019.19</v>
      </c>
      <c r="H19" s="123">
        <f t="shared" si="9"/>
        <v>-3980.8100000000004</v>
      </c>
      <c r="I19" s="276">
        <f t="shared" si="13"/>
        <v>0.5576877777777778</v>
      </c>
      <c r="J19" s="129">
        <f t="shared" si="1"/>
        <v>-146708.81</v>
      </c>
      <c r="K19" s="129">
        <f t="shared" si="12"/>
        <v>3.3080182958979223</v>
      </c>
      <c r="L19" s="129"/>
      <c r="M19" s="129"/>
      <c r="N19" s="129"/>
      <c r="O19" s="129">
        <v>121950.14</v>
      </c>
      <c r="P19" s="129">
        <f t="shared" si="3"/>
        <v>29777.86</v>
      </c>
      <c r="Q19" s="173">
        <f t="shared" si="4"/>
        <v>1.2441806134867905</v>
      </c>
      <c r="R19" s="132">
        <v>13705.91</v>
      </c>
      <c r="S19" s="132">
        <f t="shared" si="5"/>
        <v>-8686.720000000001</v>
      </c>
      <c r="T19" s="171">
        <f t="shared" si="6"/>
        <v>0.36620625700883774</v>
      </c>
      <c r="U19" s="128">
        <f t="shared" si="10"/>
        <v>9000</v>
      </c>
      <c r="V19" s="131">
        <f t="shared" si="10"/>
        <v>5019.19</v>
      </c>
      <c r="W19" s="132">
        <f t="shared" si="11"/>
        <v>-3980.8100000000004</v>
      </c>
      <c r="X19" s="173">
        <f t="shared" si="14"/>
        <v>0.5576877777777778</v>
      </c>
      <c r="Y19" s="264">
        <f t="shared" si="8"/>
        <v>-0.8779743564779527</v>
      </c>
    </row>
    <row r="20" spans="1:25" s="6" customFormat="1" ht="61.5">
      <c r="A20" s="8"/>
      <c r="B20" s="203" t="s">
        <v>126</v>
      </c>
      <c r="C20" s="101">
        <v>14040000</v>
      </c>
      <c r="D20" s="343">
        <v>66708</v>
      </c>
      <c r="E20" s="204">
        <v>66708</v>
      </c>
      <c r="F20" s="204">
        <v>9000</v>
      </c>
      <c r="G20" s="165">
        <v>5019.19</v>
      </c>
      <c r="H20" s="204">
        <f t="shared" si="9"/>
        <v>-3980.8100000000004</v>
      </c>
      <c r="I20" s="279">
        <f t="shared" si="13"/>
        <v>0.5576877777777778</v>
      </c>
      <c r="J20" s="205">
        <f t="shared" si="1"/>
        <v>-61688.81</v>
      </c>
      <c r="K20" s="205">
        <f t="shared" si="12"/>
        <v>7.5241200455717445</v>
      </c>
      <c r="L20" s="205"/>
      <c r="M20" s="205"/>
      <c r="N20" s="205"/>
      <c r="O20" s="205">
        <v>60736.45</v>
      </c>
      <c r="P20" s="205">
        <f t="shared" si="3"/>
        <v>5971.550000000003</v>
      </c>
      <c r="Q20" s="230">
        <f t="shared" si="4"/>
        <v>1.098319048940134</v>
      </c>
      <c r="R20" s="137">
        <v>13705.91</v>
      </c>
      <c r="S20" s="137">
        <f t="shared" si="5"/>
        <v>-8686.720000000001</v>
      </c>
      <c r="T20" s="206">
        <f t="shared" si="6"/>
        <v>0.36620625700883774</v>
      </c>
      <c r="U20" s="160">
        <f t="shared" si="10"/>
        <v>9000</v>
      </c>
      <c r="V20" s="145">
        <f t="shared" si="10"/>
        <v>5019.19</v>
      </c>
      <c r="W20" s="137">
        <f t="shared" si="11"/>
        <v>-3980.8100000000004</v>
      </c>
      <c r="X20" s="230">
        <f t="shared" si="14"/>
        <v>0.5576877777777778</v>
      </c>
      <c r="Y20" s="264">
        <f t="shared" si="8"/>
        <v>-0.7321127919312962</v>
      </c>
    </row>
    <row r="21" spans="1:25" s="6" customFormat="1" ht="18">
      <c r="A21" s="8"/>
      <c r="B21" s="203" t="s">
        <v>118</v>
      </c>
      <c r="C21" s="101">
        <v>14021900</v>
      </c>
      <c r="D21" s="343">
        <v>15696</v>
      </c>
      <c r="E21" s="204">
        <v>15696</v>
      </c>
      <c r="F21" s="204">
        <v>0</v>
      </c>
      <c r="G21" s="165">
        <v>0</v>
      </c>
      <c r="H21" s="204">
        <f t="shared" si="9"/>
        <v>0</v>
      </c>
      <c r="I21" s="279" t="e">
        <f t="shared" si="13"/>
        <v>#DIV/0!</v>
      </c>
      <c r="J21" s="205">
        <f t="shared" si="1"/>
        <v>-15696</v>
      </c>
      <c r="K21" s="205">
        <f t="shared" si="12"/>
        <v>0</v>
      </c>
      <c r="L21" s="205"/>
      <c r="M21" s="205"/>
      <c r="N21" s="205"/>
      <c r="O21" s="205">
        <v>12528.71</v>
      </c>
      <c r="P21" s="205">
        <f t="shared" si="3"/>
        <v>3167.290000000001</v>
      </c>
      <c r="Q21" s="230">
        <f t="shared" si="4"/>
        <v>1.2528025630731336</v>
      </c>
      <c r="R21" s="137">
        <v>0</v>
      </c>
      <c r="S21" s="137">
        <f t="shared" si="5"/>
        <v>0</v>
      </c>
      <c r="T21" s="206"/>
      <c r="U21" s="160">
        <f t="shared" si="10"/>
        <v>0</v>
      </c>
      <c r="V21" s="145">
        <f t="shared" si="10"/>
        <v>0</v>
      </c>
      <c r="W21" s="137">
        <f t="shared" si="11"/>
        <v>0</v>
      </c>
      <c r="X21" s="230" t="e">
        <f t="shared" si="14"/>
        <v>#DIV/0!</v>
      </c>
      <c r="Y21" s="264">
        <f t="shared" si="8"/>
        <v>-1.2528025630731336</v>
      </c>
    </row>
    <row r="22" spans="1:28" s="6" customFormat="1" ht="18">
      <c r="A22" s="8"/>
      <c r="B22" s="203" t="s">
        <v>119</v>
      </c>
      <c r="C22" s="101">
        <v>14031900</v>
      </c>
      <c r="D22" s="343">
        <v>69324</v>
      </c>
      <c r="E22" s="204">
        <v>69324</v>
      </c>
      <c r="F22" s="204">
        <v>0</v>
      </c>
      <c r="G22" s="165">
        <v>0</v>
      </c>
      <c r="H22" s="204">
        <f t="shared" si="9"/>
        <v>0</v>
      </c>
      <c r="I22" s="279" t="e">
        <f t="shared" si="13"/>
        <v>#DIV/0!</v>
      </c>
      <c r="J22" s="205">
        <f t="shared" si="1"/>
        <v>-69324</v>
      </c>
      <c r="K22" s="205">
        <f t="shared" si="12"/>
        <v>0</v>
      </c>
      <c r="L22" s="205"/>
      <c r="M22" s="205"/>
      <c r="N22" s="205"/>
      <c r="O22" s="205">
        <v>48684.98</v>
      </c>
      <c r="P22" s="205">
        <f t="shared" si="3"/>
        <v>20639.019999999997</v>
      </c>
      <c r="Q22" s="230">
        <f t="shared" si="4"/>
        <v>1.4239299266426728</v>
      </c>
      <c r="R22" s="137">
        <v>0</v>
      </c>
      <c r="S22" s="137">
        <f t="shared" si="5"/>
        <v>0</v>
      </c>
      <c r="T22" s="206"/>
      <c r="U22" s="160">
        <f t="shared" si="10"/>
        <v>0</v>
      </c>
      <c r="V22" s="145">
        <f t="shared" si="10"/>
        <v>0</v>
      </c>
      <c r="W22" s="137">
        <f t="shared" si="11"/>
        <v>0</v>
      </c>
      <c r="X22" s="230" t="e">
        <f t="shared" si="14"/>
        <v>#DIV/0!</v>
      </c>
      <c r="Y22" s="264">
        <f t="shared" si="8"/>
        <v>-1.4239299266426728</v>
      </c>
      <c r="AB22" s="122"/>
    </row>
    <row r="23" spans="1:28" s="6" customFormat="1" ht="18">
      <c r="A23" s="8"/>
      <c r="B23" s="263" t="s">
        <v>68</v>
      </c>
      <c r="C23" s="38">
        <v>18000000</v>
      </c>
      <c r="D23" s="123">
        <f>D24+D43+D47+D42</f>
        <v>471567.19999999995</v>
      </c>
      <c r="E23" s="123">
        <f>E24+E43+E47+E42</f>
        <v>471567.19999999995</v>
      </c>
      <c r="F23" s="123">
        <f>F24+F43+F47+F42</f>
        <v>87110.3</v>
      </c>
      <c r="G23" s="184">
        <v>49785.99</v>
      </c>
      <c r="H23" s="123">
        <f t="shared" si="9"/>
        <v>-37324.310000000005</v>
      </c>
      <c r="I23" s="276">
        <f t="shared" si="13"/>
        <v>0.571528166014811</v>
      </c>
      <c r="J23" s="129">
        <f t="shared" si="1"/>
        <v>-421781.20999999996</v>
      </c>
      <c r="K23" s="129">
        <f t="shared" si="12"/>
        <v>10.557559982967433</v>
      </c>
      <c r="L23" s="129"/>
      <c r="M23" s="129"/>
      <c r="N23" s="129"/>
      <c r="O23" s="129">
        <v>430705.5</v>
      </c>
      <c r="P23" s="129">
        <f t="shared" si="3"/>
        <v>40861.69999999995</v>
      </c>
      <c r="Q23" s="173">
        <f t="shared" si="4"/>
        <v>1.0948715537646954</v>
      </c>
      <c r="R23" s="129">
        <v>79107.24</v>
      </c>
      <c r="S23" s="132">
        <f t="shared" si="5"/>
        <v>-29321.250000000007</v>
      </c>
      <c r="T23" s="172">
        <f aca="true" t="shared" si="15" ref="T23:T41">G23/R23</f>
        <v>0.6293480849540446</v>
      </c>
      <c r="U23" s="128">
        <f t="shared" si="10"/>
        <v>87110.3</v>
      </c>
      <c r="V23" s="131">
        <f t="shared" si="10"/>
        <v>49785.99</v>
      </c>
      <c r="W23" s="132">
        <f t="shared" si="11"/>
        <v>-37324.310000000005</v>
      </c>
      <c r="X23" s="173">
        <f t="shared" si="14"/>
        <v>0.571528166014811</v>
      </c>
      <c r="Y23" s="264">
        <f>T23-Q23</f>
        <v>-0.46552346881065076</v>
      </c>
      <c r="AB23" s="122"/>
    </row>
    <row r="24" spans="1:28" s="6" customFormat="1" ht="18">
      <c r="A24" s="8"/>
      <c r="B24" s="39" t="s">
        <v>76</v>
      </c>
      <c r="C24" s="95">
        <v>18010000</v>
      </c>
      <c r="D24" s="123">
        <f>D25+D32+D35</f>
        <v>216842</v>
      </c>
      <c r="E24" s="123">
        <f>E25+E32+E35</f>
        <v>216842</v>
      </c>
      <c r="F24" s="123">
        <f>F25+F32+F35</f>
        <v>32656</v>
      </c>
      <c r="G24" s="184">
        <f>G25+G32+G35</f>
        <v>18858.71</v>
      </c>
      <c r="H24" s="123">
        <f t="shared" si="9"/>
        <v>-13797.29</v>
      </c>
      <c r="I24" s="276">
        <f t="shared" si="13"/>
        <v>0.5774960191082802</v>
      </c>
      <c r="J24" s="129">
        <f t="shared" si="1"/>
        <v>-197983.29</v>
      </c>
      <c r="K24" s="173">
        <f aca="true" t="shared" si="16" ref="K24:K41">G24/E24</f>
        <v>0.08696982134457347</v>
      </c>
      <c r="L24" s="129"/>
      <c r="M24" s="129"/>
      <c r="N24" s="129"/>
      <c r="O24" s="129">
        <v>207231.03</v>
      </c>
      <c r="P24" s="129">
        <f t="shared" si="3"/>
        <v>9610.970000000001</v>
      </c>
      <c r="Q24" s="173">
        <f t="shared" si="4"/>
        <v>1.0463780448323787</v>
      </c>
      <c r="R24" s="129">
        <v>31455.05</v>
      </c>
      <c r="S24" s="132">
        <f t="shared" si="5"/>
        <v>-12596.34</v>
      </c>
      <c r="T24" s="172">
        <f t="shared" si="15"/>
        <v>0.5995447471868587</v>
      </c>
      <c r="U24" s="128">
        <f t="shared" si="10"/>
        <v>32656</v>
      </c>
      <c r="V24" s="131">
        <f t="shared" si="10"/>
        <v>18858.71</v>
      </c>
      <c r="W24" s="132">
        <f t="shared" si="11"/>
        <v>-13797.29</v>
      </c>
      <c r="X24" s="173">
        <f t="shared" si="14"/>
        <v>0.5774960191082802</v>
      </c>
      <c r="Y24" s="264">
        <f aca="true" t="shared" si="17" ref="Y24:Y99">T24-Q24</f>
        <v>-0.44683329764552004</v>
      </c>
      <c r="AB24" s="340"/>
    </row>
    <row r="25" spans="1:26" s="6" customFormat="1" ht="18">
      <c r="A25" s="8"/>
      <c r="B25" s="45" t="s">
        <v>69</v>
      </c>
      <c r="C25" s="101"/>
      <c r="D25" s="345">
        <f>D26+D27</f>
        <v>28784</v>
      </c>
      <c r="E25" s="204">
        <f>E26+E27</f>
        <v>28784</v>
      </c>
      <c r="F25" s="269">
        <f>F26+F27</f>
        <v>5144</v>
      </c>
      <c r="G25" s="165">
        <v>4808.82</v>
      </c>
      <c r="H25" s="204">
        <f t="shared" si="9"/>
        <v>-335.1800000000003</v>
      </c>
      <c r="I25" s="279">
        <f t="shared" si="13"/>
        <v>0.9348405909797822</v>
      </c>
      <c r="J25" s="205">
        <f t="shared" si="1"/>
        <v>-23975.18</v>
      </c>
      <c r="K25" s="230">
        <f t="shared" si="16"/>
        <v>0.16706573096164534</v>
      </c>
      <c r="L25" s="205"/>
      <c r="M25" s="205"/>
      <c r="N25" s="205"/>
      <c r="O25" s="205">
        <v>25414.16</v>
      </c>
      <c r="P25" s="205">
        <f t="shared" si="3"/>
        <v>3369.84</v>
      </c>
      <c r="Q25" s="230">
        <f t="shared" si="4"/>
        <v>1.1325969459545386</v>
      </c>
      <c r="R25" s="229">
        <v>4408.21</v>
      </c>
      <c r="S25" s="137">
        <f t="shared" si="5"/>
        <v>400.6099999999997</v>
      </c>
      <c r="T25" s="177">
        <f t="shared" si="15"/>
        <v>1.0908781568936143</v>
      </c>
      <c r="U25" s="128">
        <f t="shared" si="10"/>
        <v>5144</v>
      </c>
      <c r="V25" s="131">
        <f t="shared" si="10"/>
        <v>4808.82</v>
      </c>
      <c r="W25" s="137">
        <f t="shared" si="11"/>
        <v>-335.1800000000003</v>
      </c>
      <c r="X25" s="230">
        <f t="shared" si="14"/>
        <v>0.9348405909797822</v>
      </c>
      <c r="Y25" s="264">
        <f t="shared" si="17"/>
        <v>-0.0417187890609243</v>
      </c>
      <c r="Z25" s="122"/>
    </row>
    <row r="26" spans="1:26" s="6" customFormat="1" ht="18" customHeight="1" hidden="1">
      <c r="A26" s="8"/>
      <c r="B26" s="161" t="s">
        <v>101</v>
      </c>
      <c r="C26" s="162"/>
      <c r="D26" s="347">
        <f>D28+D29</f>
        <v>1522</v>
      </c>
      <c r="E26" s="163">
        <f>E28+E29</f>
        <v>1522</v>
      </c>
      <c r="F26" s="163">
        <f>F28+F29</f>
        <v>174</v>
      </c>
      <c r="G26" s="163">
        <f>G28+G29</f>
        <v>181.72</v>
      </c>
      <c r="H26" s="184">
        <f t="shared" si="9"/>
        <v>7.719999999999999</v>
      </c>
      <c r="I26" s="280">
        <f t="shared" si="13"/>
        <v>1.044367816091954</v>
      </c>
      <c r="J26" s="226">
        <f t="shared" si="1"/>
        <v>-1340.28</v>
      </c>
      <c r="K26" s="243">
        <f t="shared" si="16"/>
        <v>0.11939553219448094</v>
      </c>
      <c r="L26" s="226"/>
      <c r="M26" s="226"/>
      <c r="N26" s="226"/>
      <c r="O26" s="226">
        <f>O28+O29</f>
        <v>1512.89</v>
      </c>
      <c r="P26" s="226">
        <f t="shared" si="3"/>
        <v>9.1099999999999</v>
      </c>
      <c r="Q26" s="243">
        <f t="shared" si="4"/>
        <v>1.006021587821983</v>
      </c>
      <c r="R26" s="164">
        <f>R28+R29</f>
        <v>150.23</v>
      </c>
      <c r="S26" s="268">
        <f t="shared" si="5"/>
        <v>31.49000000000001</v>
      </c>
      <c r="T26" s="188">
        <f t="shared" si="15"/>
        <v>1.2096119283764895</v>
      </c>
      <c r="U26" s="194">
        <f t="shared" si="10"/>
        <v>174</v>
      </c>
      <c r="V26" s="194">
        <f t="shared" si="10"/>
        <v>181.72</v>
      </c>
      <c r="W26" s="226">
        <f t="shared" si="11"/>
        <v>7.719999999999999</v>
      </c>
      <c r="X26" s="243">
        <f aca="true" t="shared" si="18" ref="X26:X41">V26/U26*100</f>
        <v>104.4367816091954</v>
      </c>
      <c r="Y26" s="264">
        <f t="shared" si="17"/>
        <v>0.20359034055450653</v>
      </c>
      <c r="Z26" s="122"/>
    </row>
    <row r="27" spans="1:26" s="6" customFormat="1" ht="18" customHeight="1" hidden="1">
      <c r="A27" s="8"/>
      <c r="B27" s="161" t="s">
        <v>102</v>
      </c>
      <c r="C27" s="162"/>
      <c r="D27" s="347">
        <f>D30+D31</f>
        <v>27262</v>
      </c>
      <c r="E27" s="163">
        <f>E30+E31</f>
        <v>27262</v>
      </c>
      <c r="F27" s="163">
        <f>F30+F31</f>
        <v>4970</v>
      </c>
      <c r="G27" s="163">
        <f>G30+G31</f>
        <v>4627.1</v>
      </c>
      <c r="H27" s="184">
        <f t="shared" si="9"/>
        <v>-342.89999999999964</v>
      </c>
      <c r="I27" s="280">
        <f t="shared" si="13"/>
        <v>0.9310060362173039</v>
      </c>
      <c r="J27" s="226">
        <f t="shared" si="1"/>
        <v>-22634.9</v>
      </c>
      <c r="K27" s="243">
        <f t="shared" si="16"/>
        <v>0.1697270926564449</v>
      </c>
      <c r="L27" s="226"/>
      <c r="M27" s="226"/>
      <c r="N27" s="226"/>
      <c r="O27" s="226">
        <f>O30+O31</f>
        <v>23901.28</v>
      </c>
      <c r="P27" s="226">
        <f t="shared" si="3"/>
        <v>3360.720000000001</v>
      </c>
      <c r="Q27" s="243">
        <f t="shared" si="4"/>
        <v>1.1406083690915299</v>
      </c>
      <c r="R27" s="164">
        <f>R30+R31</f>
        <v>4257.9800000000005</v>
      </c>
      <c r="S27" s="268">
        <f t="shared" si="5"/>
        <v>369.1199999999999</v>
      </c>
      <c r="T27" s="188">
        <f t="shared" si="15"/>
        <v>1.0866889933724442</v>
      </c>
      <c r="U27" s="194">
        <f t="shared" si="10"/>
        <v>4970</v>
      </c>
      <c r="V27" s="194">
        <f t="shared" si="10"/>
        <v>4627.1</v>
      </c>
      <c r="W27" s="226">
        <f t="shared" si="11"/>
        <v>-342.89999999999964</v>
      </c>
      <c r="X27" s="243">
        <f t="shared" si="18"/>
        <v>93.1006036217304</v>
      </c>
      <c r="Y27" s="264">
        <f t="shared" si="17"/>
        <v>-0.05391937571908567</v>
      </c>
      <c r="Z27" s="122"/>
    </row>
    <row r="28" spans="1:25" s="6" customFormat="1" ht="18" customHeight="1" hidden="1">
      <c r="A28" s="8"/>
      <c r="B28" s="273" t="s">
        <v>134</v>
      </c>
      <c r="C28" s="162">
        <v>18010100</v>
      </c>
      <c r="D28" s="359">
        <v>316</v>
      </c>
      <c r="E28" s="286">
        <v>316</v>
      </c>
      <c r="F28" s="287">
        <v>150</v>
      </c>
      <c r="G28" s="274">
        <v>29.3</v>
      </c>
      <c r="H28" s="286">
        <f t="shared" si="9"/>
        <v>-120.7</v>
      </c>
      <c r="I28" s="288">
        <f t="shared" si="13"/>
        <v>0.19533333333333333</v>
      </c>
      <c r="J28" s="289">
        <f t="shared" si="1"/>
        <v>-286.7</v>
      </c>
      <c r="K28" s="290">
        <f t="shared" si="16"/>
        <v>0.09272151898734178</v>
      </c>
      <c r="L28" s="226"/>
      <c r="M28" s="226"/>
      <c r="N28" s="226"/>
      <c r="O28" s="289">
        <v>275.91</v>
      </c>
      <c r="P28" s="289">
        <f t="shared" si="3"/>
        <v>40.089999999999975</v>
      </c>
      <c r="Q28" s="290">
        <f t="shared" si="4"/>
        <v>1.1453010039505636</v>
      </c>
      <c r="R28" s="289">
        <v>128.97</v>
      </c>
      <c r="S28" s="289">
        <f t="shared" si="5"/>
        <v>-99.67</v>
      </c>
      <c r="T28" s="290">
        <f t="shared" si="15"/>
        <v>0.22718461657749864</v>
      </c>
      <c r="U28" s="274">
        <f t="shared" si="10"/>
        <v>150</v>
      </c>
      <c r="V28" s="274">
        <f t="shared" si="10"/>
        <v>29.3</v>
      </c>
      <c r="W28" s="289">
        <f t="shared" si="11"/>
        <v>-120.7</v>
      </c>
      <c r="X28" s="290">
        <f t="shared" si="18"/>
        <v>19.53333333333333</v>
      </c>
      <c r="Y28" s="264"/>
    </row>
    <row r="29" spans="1:25" s="6" customFormat="1" ht="18" customHeight="1" hidden="1">
      <c r="A29" s="8"/>
      <c r="B29" s="273" t="s">
        <v>132</v>
      </c>
      <c r="C29" s="162">
        <v>18010200</v>
      </c>
      <c r="D29" s="359">
        <v>1206</v>
      </c>
      <c r="E29" s="286">
        <v>1206</v>
      </c>
      <c r="F29" s="287">
        <v>24</v>
      </c>
      <c r="G29" s="274">
        <v>152.42</v>
      </c>
      <c r="H29" s="286">
        <f t="shared" si="9"/>
        <v>128.42</v>
      </c>
      <c r="I29" s="288">
        <f t="shared" si="13"/>
        <v>6.350833333333333</v>
      </c>
      <c r="J29" s="289">
        <f t="shared" si="1"/>
        <v>-1053.58</v>
      </c>
      <c r="K29" s="290">
        <f t="shared" si="16"/>
        <v>0.12638474295190713</v>
      </c>
      <c r="L29" s="226"/>
      <c r="M29" s="226"/>
      <c r="N29" s="226"/>
      <c r="O29" s="289">
        <v>1236.98</v>
      </c>
      <c r="P29" s="289">
        <f t="shared" si="3"/>
        <v>-30.980000000000018</v>
      </c>
      <c r="Q29" s="290">
        <f t="shared" si="4"/>
        <v>0.9749551326618053</v>
      </c>
      <c r="R29" s="289">
        <v>21.26</v>
      </c>
      <c r="S29" s="289">
        <f t="shared" si="5"/>
        <v>131.16</v>
      </c>
      <c r="T29" s="290">
        <f t="shared" si="15"/>
        <v>7.169332079021636</v>
      </c>
      <c r="U29" s="274">
        <f t="shared" si="10"/>
        <v>24</v>
      </c>
      <c r="V29" s="274">
        <f t="shared" si="10"/>
        <v>152.42</v>
      </c>
      <c r="W29" s="289">
        <f t="shared" si="11"/>
        <v>128.42</v>
      </c>
      <c r="X29" s="290">
        <f t="shared" si="18"/>
        <v>635.0833333333333</v>
      </c>
      <c r="Y29" s="264"/>
    </row>
    <row r="30" spans="1:25" s="6" customFormat="1" ht="18" customHeight="1" hidden="1">
      <c r="A30" s="8"/>
      <c r="B30" s="273" t="s">
        <v>133</v>
      </c>
      <c r="C30" s="162">
        <v>18010300</v>
      </c>
      <c r="D30" s="359">
        <v>2355</v>
      </c>
      <c r="E30" s="286">
        <v>2355</v>
      </c>
      <c r="F30" s="287">
        <v>50</v>
      </c>
      <c r="G30" s="274">
        <v>317.81</v>
      </c>
      <c r="H30" s="286">
        <f t="shared" si="9"/>
        <v>267.81</v>
      </c>
      <c r="I30" s="288">
        <f t="shared" si="13"/>
        <v>6.3562</v>
      </c>
      <c r="J30" s="289">
        <f t="shared" si="1"/>
        <v>-2037.19</v>
      </c>
      <c r="K30" s="290">
        <f t="shared" si="16"/>
        <v>0.1349511677282378</v>
      </c>
      <c r="L30" s="226"/>
      <c r="M30" s="226"/>
      <c r="N30" s="226"/>
      <c r="O30" s="289">
        <v>2220.25</v>
      </c>
      <c r="P30" s="289">
        <f t="shared" si="3"/>
        <v>134.75</v>
      </c>
      <c r="Q30" s="290">
        <f t="shared" si="4"/>
        <v>1.0606913635851818</v>
      </c>
      <c r="R30" s="289">
        <v>42.64</v>
      </c>
      <c r="S30" s="289">
        <f t="shared" si="5"/>
        <v>275.17</v>
      </c>
      <c r="T30" s="290">
        <f t="shared" si="15"/>
        <v>7.453330206378987</v>
      </c>
      <c r="U30" s="274">
        <f t="shared" si="10"/>
        <v>50</v>
      </c>
      <c r="V30" s="274">
        <f t="shared" si="10"/>
        <v>317.81</v>
      </c>
      <c r="W30" s="289">
        <f t="shared" si="11"/>
        <v>267.81</v>
      </c>
      <c r="X30" s="290">
        <f t="shared" si="18"/>
        <v>635.62</v>
      </c>
      <c r="Y30" s="264"/>
    </row>
    <row r="31" spans="1:25" s="6" customFormat="1" ht="18" customHeight="1" hidden="1">
      <c r="A31" s="8"/>
      <c r="B31" s="273" t="s">
        <v>135</v>
      </c>
      <c r="C31" s="162">
        <v>18010400</v>
      </c>
      <c r="D31" s="359">
        <v>24907</v>
      </c>
      <c r="E31" s="286">
        <v>24907</v>
      </c>
      <c r="F31" s="287">
        <v>4920</v>
      </c>
      <c r="G31" s="274">
        <v>4309.29</v>
      </c>
      <c r="H31" s="286">
        <f t="shared" si="9"/>
        <v>-610.71</v>
      </c>
      <c r="I31" s="288">
        <f t="shared" si="13"/>
        <v>0.8758719512195122</v>
      </c>
      <c r="J31" s="289">
        <f t="shared" si="1"/>
        <v>-20597.71</v>
      </c>
      <c r="K31" s="290">
        <f t="shared" si="16"/>
        <v>0.1730152166057735</v>
      </c>
      <c r="L31" s="226"/>
      <c r="M31" s="226"/>
      <c r="N31" s="226"/>
      <c r="O31" s="289">
        <v>21681.03</v>
      </c>
      <c r="P31" s="289">
        <f t="shared" si="3"/>
        <v>3225.970000000001</v>
      </c>
      <c r="Q31" s="290">
        <f t="shared" si="4"/>
        <v>1.148792285237371</v>
      </c>
      <c r="R31" s="289">
        <v>4215.34</v>
      </c>
      <c r="S31" s="289">
        <f t="shared" si="5"/>
        <v>93.94999999999982</v>
      </c>
      <c r="T31" s="290">
        <f t="shared" si="15"/>
        <v>1.0222876446502536</v>
      </c>
      <c r="U31" s="274">
        <f t="shared" si="10"/>
        <v>4920</v>
      </c>
      <c r="V31" s="274">
        <f t="shared" si="10"/>
        <v>4309.29</v>
      </c>
      <c r="W31" s="289"/>
      <c r="X31" s="290">
        <f t="shared" si="18"/>
        <v>87.58719512195123</v>
      </c>
      <c r="Y31" s="264"/>
    </row>
    <row r="32" spans="1:25" s="6" customFormat="1" ht="18">
      <c r="A32" s="8"/>
      <c r="B32" s="45" t="s">
        <v>70</v>
      </c>
      <c r="C32" s="101"/>
      <c r="D32" s="360">
        <f>D33+D34</f>
        <v>282</v>
      </c>
      <c r="E32" s="140">
        <f>E33+E34</f>
        <v>282</v>
      </c>
      <c r="F32" s="140">
        <f>F33+F34</f>
        <v>32</v>
      </c>
      <c r="G32" s="141">
        <v>170.15</v>
      </c>
      <c r="H32" s="204">
        <f t="shared" si="9"/>
        <v>138.15</v>
      </c>
      <c r="I32" s="279">
        <f t="shared" si="13"/>
        <v>5.3171875</v>
      </c>
      <c r="J32" s="205">
        <f t="shared" si="1"/>
        <v>-111.85</v>
      </c>
      <c r="K32" s="230">
        <f t="shared" si="16"/>
        <v>0.6033687943262411</v>
      </c>
      <c r="L32" s="205"/>
      <c r="M32" s="205"/>
      <c r="N32" s="205"/>
      <c r="O32" s="205">
        <v>645.26</v>
      </c>
      <c r="P32" s="205">
        <f t="shared" si="3"/>
        <v>-363.26</v>
      </c>
      <c r="Q32" s="230">
        <f t="shared" si="4"/>
        <v>0.43703313393050863</v>
      </c>
      <c r="R32" s="142">
        <v>79.17</v>
      </c>
      <c r="S32" s="142">
        <f t="shared" si="5"/>
        <v>90.98</v>
      </c>
      <c r="T32" s="175">
        <f t="shared" si="15"/>
        <v>2.149172666414046</v>
      </c>
      <c r="U32" s="160">
        <f t="shared" si="10"/>
        <v>32</v>
      </c>
      <c r="V32" s="145">
        <f t="shared" si="10"/>
        <v>170.15</v>
      </c>
      <c r="W32" s="137">
        <f t="shared" si="11"/>
        <v>138.15</v>
      </c>
      <c r="X32" s="230">
        <f>V32/U32</f>
        <v>5.3171875</v>
      </c>
      <c r="Y32" s="265">
        <f t="shared" si="17"/>
        <v>1.7121395324835371</v>
      </c>
    </row>
    <row r="33" spans="1:25" s="6" customFormat="1" ht="15" hidden="1">
      <c r="A33" s="8"/>
      <c r="B33" s="45" t="s">
        <v>136</v>
      </c>
      <c r="C33" s="101">
        <v>18011000</v>
      </c>
      <c r="D33" s="343">
        <v>100</v>
      </c>
      <c r="E33" s="87">
        <v>100</v>
      </c>
      <c r="F33" s="291">
        <v>0</v>
      </c>
      <c r="G33" s="115">
        <v>27.85</v>
      </c>
      <c r="H33" s="87">
        <f t="shared" si="9"/>
        <v>27.85</v>
      </c>
      <c r="I33" s="277" t="e">
        <f t="shared" si="13"/>
        <v>#DIV/0!</v>
      </c>
      <c r="J33" s="88">
        <f t="shared" si="1"/>
        <v>-72.15</v>
      </c>
      <c r="K33" s="91">
        <f t="shared" si="16"/>
        <v>0.2785</v>
      </c>
      <c r="L33" s="88"/>
      <c r="M33" s="88"/>
      <c r="N33" s="88"/>
      <c r="O33" s="88">
        <v>241.36</v>
      </c>
      <c r="P33" s="88">
        <f t="shared" si="3"/>
        <v>-141.36</v>
      </c>
      <c r="Q33" s="91">
        <f t="shared" si="4"/>
        <v>0.41431885979449784</v>
      </c>
      <c r="R33" s="88">
        <v>25</v>
      </c>
      <c r="S33" s="88">
        <f t="shared" si="5"/>
        <v>2.8500000000000014</v>
      </c>
      <c r="T33" s="91">
        <f t="shared" si="15"/>
        <v>1.114</v>
      </c>
      <c r="U33" s="89">
        <f t="shared" si="10"/>
        <v>0</v>
      </c>
      <c r="V33" s="119">
        <f t="shared" si="10"/>
        <v>27.85</v>
      </c>
      <c r="W33" s="90">
        <f t="shared" si="11"/>
        <v>27.85</v>
      </c>
      <c r="X33" s="91" t="e">
        <f>V33/U33</f>
        <v>#DIV/0!</v>
      </c>
      <c r="Y33" s="265"/>
    </row>
    <row r="34" spans="1:25" s="6" customFormat="1" ht="15" hidden="1">
      <c r="A34" s="8"/>
      <c r="B34" s="45" t="s">
        <v>137</v>
      </c>
      <c r="C34" s="101">
        <v>18011100</v>
      </c>
      <c r="D34" s="343">
        <v>182</v>
      </c>
      <c r="E34" s="87">
        <v>182</v>
      </c>
      <c r="F34" s="291">
        <v>32</v>
      </c>
      <c r="G34" s="115">
        <v>142.31</v>
      </c>
      <c r="H34" s="87">
        <f t="shared" si="9"/>
        <v>110.31</v>
      </c>
      <c r="I34" s="277">
        <f t="shared" si="13"/>
        <v>4.4471875</v>
      </c>
      <c r="J34" s="88">
        <f t="shared" si="1"/>
        <v>-39.69</v>
      </c>
      <c r="K34" s="91">
        <f t="shared" si="16"/>
        <v>0.7819230769230769</v>
      </c>
      <c r="L34" s="88"/>
      <c r="M34" s="88"/>
      <c r="N34" s="88"/>
      <c r="O34" s="88">
        <v>403.91</v>
      </c>
      <c r="P34" s="88">
        <f t="shared" si="3"/>
        <v>-221.91000000000003</v>
      </c>
      <c r="Q34" s="91">
        <f t="shared" si="4"/>
        <v>0.45059542967492755</v>
      </c>
      <c r="R34" s="88">
        <v>54.17</v>
      </c>
      <c r="S34" s="88">
        <f t="shared" si="5"/>
        <v>88.14</v>
      </c>
      <c r="T34" s="91">
        <f t="shared" si="15"/>
        <v>2.627099870777183</v>
      </c>
      <c r="U34" s="89">
        <f t="shared" si="10"/>
        <v>32</v>
      </c>
      <c r="V34" s="119">
        <f t="shared" si="10"/>
        <v>142.31</v>
      </c>
      <c r="W34" s="90"/>
      <c r="X34" s="91">
        <f>V34/U34</f>
        <v>4.4471875</v>
      </c>
      <c r="Y34" s="265"/>
    </row>
    <row r="35" spans="1:25" s="6" customFormat="1" ht="18">
      <c r="A35" s="8"/>
      <c r="B35" s="45" t="s">
        <v>71</v>
      </c>
      <c r="C35" s="101"/>
      <c r="D35" s="345">
        <f>D36+D37</f>
        <v>187776</v>
      </c>
      <c r="E35" s="140">
        <f>E36+E37</f>
        <v>187776</v>
      </c>
      <c r="F35" s="140">
        <f>F36+F37</f>
        <v>27480</v>
      </c>
      <c r="G35" s="141">
        <v>13879.74</v>
      </c>
      <c r="H35" s="123">
        <f t="shared" si="9"/>
        <v>-13600.26</v>
      </c>
      <c r="I35" s="279">
        <f t="shared" si="13"/>
        <v>0.5050851528384279</v>
      </c>
      <c r="J35" s="205">
        <f t="shared" si="1"/>
        <v>-173896.26</v>
      </c>
      <c r="K35" s="230">
        <f t="shared" si="16"/>
        <v>0.07391647494887525</v>
      </c>
      <c r="L35" s="205"/>
      <c r="M35" s="205"/>
      <c r="N35" s="205"/>
      <c r="O35" s="205">
        <v>181171.61</v>
      </c>
      <c r="P35" s="205">
        <f t="shared" si="3"/>
        <v>6604.390000000014</v>
      </c>
      <c r="Q35" s="230">
        <f t="shared" si="4"/>
        <v>1.0364537799272193</v>
      </c>
      <c r="R35" s="143">
        <v>26967.67</v>
      </c>
      <c r="S35" s="143">
        <f t="shared" si="5"/>
        <v>-13087.929999999998</v>
      </c>
      <c r="T35" s="174">
        <f t="shared" si="15"/>
        <v>0.5146807269593554</v>
      </c>
      <c r="U35" s="160">
        <f t="shared" si="10"/>
        <v>27480</v>
      </c>
      <c r="V35" s="145">
        <f t="shared" si="10"/>
        <v>13879.74</v>
      </c>
      <c r="W35" s="137">
        <f t="shared" si="11"/>
        <v>-13600.26</v>
      </c>
      <c r="X35" s="230">
        <f>V35/U35</f>
        <v>0.5050851528384279</v>
      </c>
      <c r="Y35" s="265">
        <f t="shared" si="17"/>
        <v>-0.5217730529678639</v>
      </c>
    </row>
    <row r="36" spans="1:25" s="6" customFormat="1" ht="18" customHeight="1" hidden="1">
      <c r="A36" s="8"/>
      <c r="B36" s="161" t="s">
        <v>103</v>
      </c>
      <c r="C36" s="162"/>
      <c r="D36" s="361">
        <f>D38+D40</f>
        <v>60690</v>
      </c>
      <c r="E36" s="163">
        <f aca="true" t="shared" si="19" ref="E36:G37">E38+E40</f>
        <v>60690</v>
      </c>
      <c r="F36" s="163">
        <f t="shared" si="19"/>
        <v>8480</v>
      </c>
      <c r="G36" s="163">
        <f t="shared" si="19"/>
        <v>4150.32</v>
      </c>
      <c r="H36" s="184">
        <f t="shared" si="9"/>
        <v>-4329.68</v>
      </c>
      <c r="I36" s="280">
        <f t="shared" si="13"/>
        <v>0.48942452830188676</v>
      </c>
      <c r="J36" s="226">
        <f t="shared" si="1"/>
        <v>-56539.68</v>
      </c>
      <c r="K36" s="243">
        <f t="shared" si="16"/>
        <v>0.06838556599110232</v>
      </c>
      <c r="L36" s="226"/>
      <c r="M36" s="226"/>
      <c r="N36" s="226"/>
      <c r="O36" s="226">
        <f>O38+O40</f>
        <v>58608.68</v>
      </c>
      <c r="P36" s="226">
        <f t="shared" si="3"/>
        <v>2081.3199999999997</v>
      </c>
      <c r="Q36" s="243">
        <f t="shared" si="4"/>
        <v>1.0355121459824723</v>
      </c>
      <c r="R36" s="164">
        <f>R38+R40</f>
        <v>8859.21</v>
      </c>
      <c r="S36" s="164">
        <f t="shared" si="5"/>
        <v>-4708.889999999999</v>
      </c>
      <c r="T36" s="188">
        <f t="shared" si="15"/>
        <v>0.4684751800668457</v>
      </c>
      <c r="U36" s="194">
        <f t="shared" si="10"/>
        <v>8480</v>
      </c>
      <c r="V36" s="194">
        <f t="shared" si="10"/>
        <v>4150.32</v>
      </c>
      <c r="W36" s="226">
        <f t="shared" si="11"/>
        <v>-4329.68</v>
      </c>
      <c r="X36" s="243">
        <f t="shared" si="18"/>
        <v>48.94245283018868</v>
      </c>
      <c r="Y36" s="264">
        <f t="shared" si="17"/>
        <v>-0.5670369659156267</v>
      </c>
    </row>
    <row r="37" spans="1:25" s="6" customFormat="1" ht="18" customHeight="1" hidden="1">
      <c r="A37" s="8"/>
      <c r="B37" s="161" t="s">
        <v>104</v>
      </c>
      <c r="C37" s="162"/>
      <c r="D37" s="361">
        <f>D39+D41</f>
        <v>127086</v>
      </c>
      <c r="E37" s="163">
        <f t="shared" si="19"/>
        <v>127086</v>
      </c>
      <c r="F37" s="163">
        <f t="shared" si="19"/>
        <v>19000</v>
      </c>
      <c r="G37" s="163">
        <f t="shared" si="19"/>
        <v>9729.42</v>
      </c>
      <c r="H37" s="184">
        <f t="shared" si="9"/>
        <v>-9270.58</v>
      </c>
      <c r="I37" s="280">
        <f t="shared" si="13"/>
        <v>0.5120747368421052</v>
      </c>
      <c r="J37" s="226">
        <f t="shared" si="1"/>
        <v>-117356.58</v>
      </c>
      <c r="K37" s="243">
        <f t="shared" si="16"/>
        <v>0.07655776403380388</v>
      </c>
      <c r="L37" s="226"/>
      <c r="M37" s="226"/>
      <c r="N37" s="226"/>
      <c r="O37" s="226">
        <f>O39+O41</f>
        <v>122562.93000000001</v>
      </c>
      <c r="P37" s="226">
        <f t="shared" si="3"/>
        <v>4523.069999999992</v>
      </c>
      <c r="Q37" s="243">
        <f t="shared" si="4"/>
        <v>1.0369040622641772</v>
      </c>
      <c r="R37" s="164">
        <f>R39+R41</f>
        <v>18108.45</v>
      </c>
      <c r="S37" s="164">
        <f t="shared" si="5"/>
        <v>-8379.03</v>
      </c>
      <c r="T37" s="188">
        <f t="shared" si="15"/>
        <v>0.5372861840742857</v>
      </c>
      <c r="U37" s="194">
        <f t="shared" si="10"/>
        <v>19000</v>
      </c>
      <c r="V37" s="194">
        <f t="shared" si="10"/>
        <v>9729.42</v>
      </c>
      <c r="W37" s="226">
        <f t="shared" si="11"/>
        <v>-9270.58</v>
      </c>
      <c r="X37" s="243">
        <f t="shared" si="18"/>
        <v>51.20747368421053</v>
      </c>
      <c r="Y37" s="264">
        <f t="shared" si="17"/>
        <v>-0.49961787818989145</v>
      </c>
    </row>
    <row r="38" spans="1:25" s="6" customFormat="1" ht="18" customHeight="1" hidden="1">
      <c r="A38" s="8"/>
      <c r="B38" s="275" t="s">
        <v>138</v>
      </c>
      <c r="C38" s="162">
        <v>18010500</v>
      </c>
      <c r="D38" s="359">
        <v>57290</v>
      </c>
      <c r="E38" s="286">
        <v>57290</v>
      </c>
      <c r="F38" s="286">
        <v>8300</v>
      </c>
      <c r="G38" s="274">
        <v>4060.66</v>
      </c>
      <c r="H38" s="286">
        <f t="shared" si="9"/>
        <v>-4239.34</v>
      </c>
      <c r="I38" s="288">
        <f t="shared" si="13"/>
        <v>0.4892361445783132</v>
      </c>
      <c r="J38" s="289">
        <f t="shared" si="1"/>
        <v>-53229.34</v>
      </c>
      <c r="K38" s="290">
        <f t="shared" si="16"/>
        <v>0.07087903648106127</v>
      </c>
      <c r="L38" s="226"/>
      <c r="M38" s="226"/>
      <c r="N38" s="226"/>
      <c r="O38" s="289">
        <v>55246.24</v>
      </c>
      <c r="P38" s="289">
        <f t="shared" si="3"/>
        <v>2043.760000000002</v>
      </c>
      <c r="Q38" s="290">
        <f t="shared" si="4"/>
        <v>1.0369936487985427</v>
      </c>
      <c r="R38" s="289">
        <v>8645.88</v>
      </c>
      <c r="S38" s="289">
        <f t="shared" si="5"/>
        <v>-4585.219999999999</v>
      </c>
      <c r="T38" s="290">
        <f t="shared" si="15"/>
        <v>0.4696641637404174</v>
      </c>
      <c r="U38" s="274">
        <f t="shared" si="10"/>
        <v>8300</v>
      </c>
      <c r="V38" s="274">
        <f t="shared" si="10"/>
        <v>4060.66</v>
      </c>
      <c r="W38" s="289">
        <f t="shared" si="11"/>
        <v>-4239.34</v>
      </c>
      <c r="X38" s="290">
        <f t="shared" si="18"/>
        <v>48.92361445783132</v>
      </c>
      <c r="Y38" s="264"/>
    </row>
    <row r="39" spans="1:25" s="6" customFormat="1" ht="18" customHeight="1" hidden="1">
      <c r="A39" s="8"/>
      <c r="B39" s="275" t="s">
        <v>139</v>
      </c>
      <c r="C39" s="162">
        <v>18010600</v>
      </c>
      <c r="D39" s="359">
        <v>105986</v>
      </c>
      <c r="E39" s="286">
        <v>105986</v>
      </c>
      <c r="F39" s="286">
        <v>15650</v>
      </c>
      <c r="G39" s="274">
        <v>8113.77</v>
      </c>
      <c r="H39" s="286">
        <f t="shared" si="9"/>
        <v>-7536.23</v>
      </c>
      <c r="I39" s="288">
        <f t="shared" si="13"/>
        <v>0.5184517571884985</v>
      </c>
      <c r="J39" s="289">
        <f t="shared" si="1"/>
        <v>-97872.23</v>
      </c>
      <c r="K39" s="290">
        <f t="shared" si="16"/>
        <v>0.07655511105240315</v>
      </c>
      <c r="L39" s="226"/>
      <c r="M39" s="226"/>
      <c r="N39" s="226"/>
      <c r="O39" s="289">
        <v>102196.35</v>
      </c>
      <c r="P39" s="289">
        <f t="shared" si="3"/>
        <v>3789.649999999994</v>
      </c>
      <c r="Q39" s="290">
        <f t="shared" si="4"/>
        <v>1.0370820484293226</v>
      </c>
      <c r="R39" s="289">
        <v>14982.8</v>
      </c>
      <c r="S39" s="289">
        <f t="shared" si="5"/>
        <v>-6869.029999999999</v>
      </c>
      <c r="T39" s="290">
        <f t="shared" si="15"/>
        <v>0.5415389646794992</v>
      </c>
      <c r="U39" s="274">
        <f t="shared" si="10"/>
        <v>15650</v>
      </c>
      <c r="V39" s="274">
        <f t="shared" si="10"/>
        <v>8113.77</v>
      </c>
      <c r="W39" s="289">
        <f t="shared" si="11"/>
        <v>-7536.23</v>
      </c>
      <c r="X39" s="290">
        <f t="shared" si="18"/>
        <v>51.845175718849845</v>
      </c>
      <c r="Y39" s="264"/>
    </row>
    <row r="40" spans="1:25" s="6" customFormat="1" ht="18" customHeight="1" hidden="1">
      <c r="A40" s="8"/>
      <c r="B40" s="275" t="s">
        <v>140</v>
      </c>
      <c r="C40" s="162">
        <v>18010700</v>
      </c>
      <c r="D40" s="359">
        <v>3400</v>
      </c>
      <c r="E40" s="286">
        <v>3400</v>
      </c>
      <c r="F40" s="286">
        <v>180</v>
      </c>
      <c r="G40" s="274">
        <v>89.66</v>
      </c>
      <c r="H40" s="286">
        <f t="shared" si="9"/>
        <v>-90.34</v>
      </c>
      <c r="I40" s="288">
        <f t="shared" si="13"/>
        <v>0.4981111111111111</v>
      </c>
      <c r="J40" s="289">
        <f t="shared" si="1"/>
        <v>-3310.34</v>
      </c>
      <c r="K40" s="290">
        <f t="shared" si="16"/>
        <v>0.026370588235294118</v>
      </c>
      <c r="L40" s="226"/>
      <c r="M40" s="226"/>
      <c r="N40" s="226"/>
      <c r="O40" s="289">
        <v>3362.44</v>
      </c>
      <c r="P40" s="289">
        <f t="shared" si="3"/>
        <v>37.559999999999945</v>
      </c>
      <c r="Q40" s="290">
        <f t="shared" si="4"/>
        <v>1.0111704595472335</v>
      </c>
      <c r="R40" s="289">
        <v>213.33</v>
      </c>
      <c r="S40" s="289">
        <f t="shared" si="5"/>
        <v>-123.67000000000002</v>
      </c>
      <c r="T40" s="290">
        <f t="shared" si="15"/>
        <v>0.4202878169971405</v>
      </c>
      <c r="U40" s="274">
        <f t="shared" si="10"/>
        <v>180</v>
      </c>
      <c r="V40" s="274">
        <f t="shared" si="10"/>
        <v>89.66</v>
      </c>
      <c r="W40" s="289">
        <f t="shared" si="11"/>
        <v>-90.34</v>
      </c>
      <c r="X40" s="290">
        <f t="shared" si="18"/>
        <v>49.81111111111111</v>
      </c>
      <c r="Y40" s="264"/>
    </row>
    <row r="41" spans="1:25" s="6" customFormat="1" ht="18" customHeight="1" hidden="1">
      <c r="A41" s="8"/>
      <c r="B41" s="275" t="s">
        <v>141</v>
      </c>
      <c r="C41" s="162">
        <v>18010900</v>
      </c>
      <c r="D41" s="359">
        <v>21100</v>
      </c>
      <c r="E41" s="286">
        <v>21100</v>
      </c>
      <c r="F41" s="286">
        <v>3350</v>
      </c>
      <c r="G41" s="274">
        <v>1615.65</v>
      </c>
      <c r="H41" s="286">
        <f t="shared" si="9"/>
        <v>-1734.35</v>
      </c>
      <c r="I41" s="288">
        <f t="shared" si="13"/>
        <v>0.48228358208955224</v>
      </c>
      <c r="J41" s="289">
        <f t="shared" si="1"/>
        <v>-19484.35</v>
      </c>
      <c r="K41" s="290">
        <f t="shared" si="16"/>
        <v>0.07657109004739338</v>
      </c>
      <c r="L41" s="226"/>
      <c r="M41" s="226"/>
      <c r="N41" s="226"/>
      <c r="O41" s="289">
        <v>20366.58</v>
      </c>
      <c r="P41" s="289">
        <f t="shared" si="3"/>
        <v>733.4199999999983</v>
      </c>
      <c r="Q41" s="290">
        <f t="shared" si="4"/>
        <v>1.0360109552021006</v>
      </c>
      <c r="R41" s="289">
        <v>3125.65</v>
      </c>
      <c r="S41" s="289">
        <f t="shared" si="5"/>
        <v>-1510</v>
      </c>
      <c r="T41" s="290">
        <f t="shared" si="15"/>
        <v>0.5169004846991826</v>
      </c>
      <c r="U41" s="274">
        <f t="shared" si="10"/>
        <v>3350</v>
      </c>
      <c r="V41" s="274">
        <f t="shared" si="10"/>
        <v>1615.65</v>
      </c>
      <c r="W41" s="289">
        <f t="shared" si="11"/>
        <v>-1734.35</v>
      </c>
      <c r="X41" s="290">
        <f t="shared" si="18"/>
        <v>48.22835820895522</v>
      </c>
      <c r="Y41" s="264"/>
    </row>
    <row r="42" spans="1:25" s="6" customFormat="1" ht="18">
      <c r="A42" s="8"/>
      <c r="B42" s="185" t="s">
        <v>106</v>
      </c>
      <c r="C42" s="183">
        <v>18020000</v>
      </c>
      <c r="D42" s="348"/>
      <c r="E42" s="133">
        <v>0</v>
      </c>
      <c r="F42" s="133">
        <f>E42</f>
        <v>0</v>
      </c>
      <c r="G42" s="163">
        <v>0</v>
      </c>
      <c r="H42" s="123">
        <f t="shared" si="9"/>
        <v>0</v>
      </c>
      <c r="I42" s="276"/>
      <c r="J42" s="129">
        <f t="shared" si="1"/>
        <v>0</v>
      </c>
      <c r="K42" s="129"/>
      <c r="L42" s="129"/>
      <c r="M42" s="129"/>
      <c r="N42" s="129"/>
      <c r="O42" s="129">
        <v>0.2</v>
      </c>
      <c r="P42" s="129">
        <f t="shared" si="3"/>
        <v>-0.2</v>
      </c>
      <c r="Q42" s="173">
        <f t="shared" si="4"/>
        <v>0</v>
      </c>
      <c r="R42" s="138">
        <v>0.2</v>
      </c>
      <c r="S42" s="129">
        <f t="shared" si="5"/>
        <v>-0.2</v>
      </c>
      <c r="T42" s="173"/>
      <c r="U42" s="128">
        <f t="shared" si="10"/>
        <v>0</v>
      </c>
      <c r="V42" s="131">
        <f t="shared" si="10"/>
        <v>0</v>
      </c>
      <c r="W42" s="132">
        <f t="shared" si="11"/>
        <v>0</v>
      </c>
      <c r="X42" s="173"/>
      <c r="Y42" s="264">
        <f t="shared" si="17"/>
        <v>0</v>
      </c>
    </row>
    <row r="43" spans="1:25" s="6" customFormat="1" ht="18">
      <c r="A43" s="8"/>
      <c r="B43" s="39" t="s">
        <v>77</v>
      </c>
      <c r="C43" s="95">
        <v>18030000</v>
      </c>
      <c r="D43" s="346">
        <f>D44+D45</f>
        <v>174.4</v>
      </c>
      <c r="E43" s="123">
        <f>E44+E45</f>
        <v>174.4</v>
      </c>
      <c r="F43" s="123">
        <f>F44+F45</f>
        <v>34.3</v>
      </c>
      <c r="G43" s="127">
        <v>10.58</v>
      </c>
      <c r="H43" s="123">
        <f t="shared" si="9"/>
        <v>-23.72</v>
      </c>
      <c r="I43" s="276">
        <f>G43/F43</f>
        <v>0.30845481049562684</v>
      </c>
      <c r="J43" s="129">
        <f t="shared" si="1"/>
        <v>-163.82</v>
      </c>
      <c r="K43" s="173">
        <f>G43/E43</f>
        <v>0.0606651376146789</v>
      </c>
      <c r="L43" s="129"/>
      <c r="M43" s="129"/>
      <c r="N43" s="129"/>
      <c r="O43" s="129">
        <v>156.82</v>
      </c>
      <c r="P43" s="129">
        <f t="shared" si="3"/>
        <v>17.580000000000013</v>
      </c>
      <c r="Q43" s="173">
        <f t="shared" si="4"/>
        <v>1.112103048080602</v>
      </c>
      <c r="R43" s="138">
        <v>34.2</v>
      </c>
      <c r="S43" s="129">
        <f t="shared" si="5"/>
        <v>-23.620000000000005</v>
      </c>
      <c r="T43" s="173">
        <f aca="true" t="shared" si="20" ref="T43:T51">G43/R43</f>
        <v>0.30935672514619883</v>
      </c>
      <c r="U43" s="128">
        <f t="shared" si="10"/>
        <v>34.3</v>
      </c>
      <c r="V43" s="131">
        <f t="shared" si="10"/>
        <v>10.58</v>
      </c>
      <c r="W43" s="132">
        <f t="shared" si="11"/>
        <v>-23.72</v>
      </c>
      <c r="X43" s="173">
        <f>V43/U43</f>
        <v>0.30845481049562684</v>
      </c>
      <c r="Y43" s="264">
        <f t="shared" si="17"/>
        <v>-0.8027463229344032</v>
      </c>
    </row>
    <row r="44" spans="1:25" s="6" customFormat="1" ht="15" hidden="1">
      <c r="A44" s="8"/>
      <c r="B44" s="45" t="s">
        <v>142</v>
      </c>
      <c r="C44" s="86">
        <v>18031000</v>
      </c>
      <c r="D44" s="343">
        <v>100.9</v>
      </c>
      <c r="E44" s="87">
        <v>100.9</v>
      </c>
      <c r="F44" s="87">
        <v>19.9</v>
      </c>
      <c r="G44" s="115">
        <v>10.06</v>
      </c>
      <c r="H44" s="87">
        <f t="shared" si="9"/>
        <v>-9.839999999999998</v>
      </c>
      <c r="I44" s="277">
        <f>G44/F44</f>
        <v>0.5055276381909548</v>
      </c>
      <c r="J44" s="88">
        <f t="shared" si="1"/>
        <v>-90.84</v>
      </c>
      <c r="K44" s="91">
        <f>G44/E44</f>
        <v>0.09970267591674925</v>
      </c>
      <c r="L44" s="88"/>
      <c r="M44" s="88"/>
      <c r="N44" s="88"/>
      <c r="O44" s="88">
        <v>95.14</v>
      </c>
      <c r="P44" s="88">
        <f t="shared" si="3"/>
        <v>5.760000000000005</v>
      </c>
      <c r="Q44" s="91">
        <f t="shared" si="4"/>
        <v>1.0605423586293883</v>
      </c>
      <c r="R44" s="88">
        <v>19.86</v>
      </c>
      <c r="S44" s="88">
        <f t="shared" si="5"/>
        <v>-9.799999999999999</v>
      </c>
      <c r="T44" s="91">
        <f t="shared" si="20"/>
        <v>0.5065458207452166</v>
      </c>
      <c r="U44" s="89">
        <f t="shared" si="10"/>
        <v>19.9</v>
      </c>
      <c r="V44" s="119">
        <f t="shared" si="10"/>
        <v>10.06</v>
      </c>
      <c r="W44" s="90">
        <f t="shared" si="11"/>
        <v>-9.839999999999998</v>
      </c>
      <c r="X44" s="91">
        <f>V44/U44</f>
        <v>0.5055276381909548</v>
      </c>
      <c r="Y44" s="264"/>
    </row>
    <row r="45" spans="1:25" s="6" customFormat="1" ht="15" hidden="1">
      <c r="A45" s="8"/>
      <c r="B45" s="45" t="s">
        <v>143</v>
      </c>
      <c r="C45" s="86">
        <v>18031100</v>
      </c>
      <c r="D45" s="343">
        <v>73.5</v>
      </c>
      <c r="E45" s="87">
        <v>73.5</v>
      </c>
      <c r="F45" s="87">
        <v>14.4</v>
      </c>
      <c r="G45" s="115">
        <v>0.53</v>
      </c>
      <c r="H45" s="87">
        <f t="shared" si="9"/>
        <v>-13.870000000000001</v>
      </c>
      <c r="I45" s="277">
        <f>G45/F45</f>
        <v>0.03680555555555556</v>
      </c>
      <c r="J45" s="88">
        <f t="shared" si="1"/>
        <v>-72.97</v>
      </c>
      <c r="K45" s="91">
        <f>G45/E45</f>
        <v>0.007210884353741497</v>
      </c>
      <c r="L45" s="88"/>
      <c r="M45" s="88"/>
      <c r="N45" s="88"/>
      <c r="O45" s="88">
        <v>61.68</v>
      </c>
      <c r="P45" s="88">
        <f t="shared" si="3"/>
        <v>11.82</v>
      </c>
      <c r="Q45" s="91">
        <f t="shared" si="4"/>
        <v>1.1916342412451362</v>
      </c>
      <c r="R45" s="88">
        <v>14.34</v>
      </c>
      <c r="S45" s="88">
        <f t="shared" si="5"/>
        <v>-13.81</v>
      </c>
      <c r="T45" s="91">
        <f t="shared" si="20"/>
        <v>0.03695955369595537</v>
      </c>
      <c r="U45" s="89">
        <f t="shared" si="10"/>
        <v>14.4</v>
      </c>
      <c r="V45" s="119">
        <f t="shared" si="10"/>
        <v>0.53</v>
      </c>
      <c r="W45" s="90">
        <f t="shared" si="11"/>
        <v>-13.870000000000001</v>
      </c>
      <c r="X45" s="91">
        <f>V45/U45</f>
        <v>0.03680555555555556</v>
      </c>
      <c r="Y45" s="264"/>
    </row>
    <row r="46" spans="1:25" s="6" customFormat="1" ht="30.75">
      <c r="A46" s="8"/>
      <c r="B46" s="185" t="s">
        <v>78</v>
      </c>
      <c r="C46" s="95">
        <v>18040000</v>
      </c>
      <c r="D46" s="346"/>
      <c r="E46" s="123"/>
      <c r="F46" s="123"/>
      <c r="G46" s="127">
        <v>-0.33</v>
      </c>
      <c r="H46" s="123">
        <f t="shared" si="9"/>
        <v>-0.33</v>
      </c>
      <c r="I46" s="276"/>
      <c r="J46" s="129">
        <f t="shared" si="1"/>
        <v>-0.33</v>
      </c>
      <c r="K46" s="173"/>
      <c r="L46" s="129"/>
      <c r="M46" s="129"/>
      <c r="N46" s="129"/>
      <c r="O46" s="129">
        <v>-50.78</v>
      </c>
      <c r="P46" s="129">
        <f t="shared" si="3"/>
        <v>50.78</v>
      </c>
      <c r="Q46" s="173">
        <f t="shared" si="4"/>
        <v>0</v>
      </c>
      <c r="R46" s="129">
        <v>-10.76</v>
      </c>
      <c r="S46" s="129">
        <f t="shared" si="5"/>
        <v>10.43</v>
      </c>
      <c r="T46" s="173">
        <f t="shared" si="20"/>
        <v>0.03066914498141264</v>
      </c>
      <c r="U46" s="128">
        <f t="shared" si="10"/>
        <v>0</v>
      </c>
      <c r="V46" s="131">
        <f t="shared" si="10"/>
        <v>-0.33</v>
      </c>
      <c r="W46" s="132">
        <f t="shared" si="11"/>
        <v>-0.33</v>
      </c>
      <c r="X46" s="173"/>
      <c r="Y46" s="264">
        <f t="shared" si="17"/>
        <v>0.03066914498141264</v>
      </c>
    </row>
    <row r="47" spans="1:25" s="6" customFormat="1" ht="18">
      <c r="A47" s="8"/>
      <c r="B47" s="39" t="s">
        <v>79</v>
      </c>
      <c r="C47" s="95">
        <v>18050000</v>
      </c>
      <c r="D47" s="346">
        <f>D48+D49+D50+D51</f>
        <v>254550.8</v>
      </c>
      <c r="E47" s="133">
        <f>E48+E49+E50+E51</f>
        <v>254550.8</v>
      </c>
      <c r="F47" s="133">
        <f>F48+F49+F50+F51</f>
        <v>54420</v>
      </c>
      <c r="G47" s="134">
        <v>30917.01</v>
      </c>
      <c r="H47" s="123">
        <f t="shared" si="9"/>
        <v>-23502.99</v>
      </c>
      <c r="I47" s="276">
        <f>G47/F47*100</f>
        <v>56.81185226019846</v>
      </c>
      <c r="J47" s="129">
        <f t="shared" si="1"/>
        <v>-223633.78999999998</v>
      </c>
      <c r="K47" s="173">
        <f>G47/E47</f>
        <v>0.12145713154309473</v>
      </c>
      <c r="L47" s="129"/>
      <c r="M47" s="129"/>
      <c r="N47" s="129"/>
      <c r="O47" s="129">
        <v>223368.23</v>
      </c>
      <c r="P47" s="129">
        <f t="shared" si="3"/>
        <v>31182.569999999978</v>
      </c>
      <c r="Q47" s="173">
        <f t="shared" si="4"/>
        <v>1.139601634484904</v>
      </c>
      <c r="R47" s="144">
        <v>47628.56</v>
      </c>
      <c r="S47" s="144">
        <f t="shared" si="5"/>
        <v>-16711.55</v>
      </c>
      <c r="T47" s="186">
        <f t="shared" si="20"/>
        <v>0.6491275402825532</v>
      </c>
      <c r="U47" s="128">
        <f t="shared" si="10"/>
        <v>54420</v>
      </c>
      <c r="V47" s="131">
        <f t="shared" si="10"/>
        <v>30917.01</v>
      </c>
      <c r="W47" s="132">
        <f t="shared" si="11"/>
        <v>-23502.99</v>
      </c>
      <c r="X47" s="173">
        <f>V47/U47</f>
        <v>0.5681185226019846</v>
      </c>
      <c r="Y47" s="264">
        <f t="shared" si="17"/>
        <v>-0.4904740942023509</v>
      </c>
    </row>
    <row r="48" spans="1:25" s="6" customFormat="1" ht="15" customHeight="1" hidden="1">
      <c r="A48" s="8"/>
      <c r="B48" s="45" t="s">
        <v>85</v>
      </c>
      <c r="C48" s="86">
        <v>18050200</v>
      </c>
      <c r="D48" s="343"/>
      <c r="E48" s="87">
        <v>0</v>
      </c>
      <c r="F48" s="87">
        <f>E48</f>
        <v>0</v>
      </c>
      <c r="G48" s="115">
        <v>0.01</v>
      </c>
      <c r="H48" s="87">
        <f>G48-F48</f>
        <v>0.01</v>
      </c>
      <c r="I48" s="277"/>
      <c r="J48" s="88">
        <f t="shared" si="1"/>
        <v>0.01</v>
      </c>
      <c r="K48" s="91"/>
      <c r="L48" s="88"/>
      <c r="M48" s="88"/>
      <c r="N48" s="88"/>
      <c r="O48" s="88">
        <v>0.01</v>
      </c>
      <c r="P48" s="88">
        <f t="shared" si="3"/>
        <v>-0.01</v>
      </c>
      <c r="Q48" s="91">
        <f t="shared" si="4"/>
        <v>0</v>
      </c>
      <c r="R48" s="105">
        <f>O48</f>
        <v>0.01</v>
      </c>
      <c r="S48" s="105">
        <f t="shared" si="5"/>
        <v>0</v>
      </c>
      <c r="T48" s="178">
        <f t="shared" si="20"/>
        <v>1</v>
      </c>
      <c r="U48" s="89">
        <f t="shared" si="10"/>
        <v>0</v>
      </c>
      <c r="V48" s="119">
        <f t="shared" si="10"/>
        <v>0.01</v>
      </c>
      <c r="W48" s="90">
        <f t="shared" si="11"/>
        <v>0.01</v>
      </c>
      <c r="X48" s="91"/>
      <c r="Y48" s="264">
        <f t="shared" si="17"/>
        <v>1</v>
      </c>
    </row>
    <row r="49" spans="1:25" s="6" customFormat="1" ht="15" customHeight="1" hidden="1">
      <c r="A49" s="8"/>
      <c r="B49" s="45" t="s">
        <v>86</v>
      </c>
      <c r="C49" s="86">
        <v>18050300</v>
      </c>
      <c r="D49" s="343">
        <v>55715</v>
      </c>
      <c r="E49" s="87">
        <v>55715</v>
      </c>
      <c r="F49" s="87">
        <v>10600</v>
      </c>
      <c r="G49" s="115">
        <v>5106.91</v>
      </c>
      <c r="H49" s="87">
        <f>G49-F49</f>
        <v>-5493.09</v>
      </c>
      <c r="I49" s="277">
        <f>G49/F49</f>
        <v>0.48178396226415093</v>
      </c>
      <c r="J49" s="88">
        <f t="shared" si="1"/>
        <v>-50608.09</v>
      </c>
      <c r="K49" s="91">
        <f>G49/E49</f>
        <v>0.0916613120344611</v>
      </c>
      <c r="L49" s="88"/>
      <c r="M49" s="88"/>
      <c r="N49" s="88"/>
      <c r="O49" s="88">
        <v>45030.34</v>
      </c>
      <c r="P49" s="88">
        <f t="shared" si="3"/>
        <v>10684.660000000003</v>
      </c>
      <c r="Q49" s="91">
        <f t="shared" si="4"/>
        <v>1.2372769115223203</v>
      </c>
      <c r="R49" s="105">
        <v>9755.95</v>
      </c>
      <c r="S49" s="105">
        <f t="shared" si="5"/>
        <v>-4649.040000000001</v>
      </c>
      <c r="T49" s="178">
        <f t="shared" si="20"/>
        <v>0.5234661924261604</v>
      </c>
      <c r="U49" s="89">
        <f t="shared" si="10"/>
        <v>10600</v>
      </c>
      <c r="V49" s="119">
        <f t="shared" si="10"/>
        <v>5106.91</v>
      </c>
      <c r="W49" s="90">
        <f t="shared" si="11"/>
        <v>-5493.09</v>
      </c>
      <c r="X49" s="91">
        <f>V49/U49</f>
        <v>0.48178396226415093</v>
      </c>
      <c r="Y49" s="264">
        <f t="shared" si="17"/>
        <v>-0.7138107190961599</v>
      </c>
    </row>
    <row r="50" spans="1:25" s="6" customFormat="1" ht="15" customHeight="1" hidden="1">
      <c r="A50" s="8"/>
      <c r="B50" s="45" t="s">
        <v>87</v>
      </c>
      <c r="C50" s="86">
        <v>18050400</v>
      </c>
      <c r="D50" s="343">
        <v>198755</v>
      </c>
      <c r="E50" s="87">
        <v>198755</v>
      </c>
      <c r="F50" s="87">
        <v>43800</v>
      </c>
      <c r="G50" s="115">
        <v>25788.26</v>
      </c>
      <c r="H50" s="87">
        <f>G50-F50</f>
        <v>-18011.74</v>
      </c>
      <c r="I50" s="277">
        <f>G50/F50</f>
        <v>0.5887730593607305</v>
      </c>
      <c r="J50" s="88">
        <f t="shared" si="1"/>
        <v>-172966.74</v>
      </c>
      <c r="K50" s="91">
        <f>G50/E50</f>
        <v>0.12974898744685667</v>
      </c>
      <c r="L50" s="88"/>
      <c r="M50" s="88"/>
      <c r="N50" s="88"/>
      <c r="O50" s="88">
        <v>178270.24</v>
      </c>
      <c r="P50" s="88">
        <f t="shared" si="3"/>
        <v>20484.76000000001</v>
      </c>
      <c r="Q50" s="91">
        <f t="shared" si="4"/>
        <v>1.11490846705541</v>
      </c>
      <c r="R50" s="105">
        <v>37856.5</v>
      </c>
      <c r="S50" s="105">
        <f t="shared" si="5"/>
        <v>-12068.240000000002</v>
      </c>
      <c r="T50" s="178">
        <f t="shared" si="20"/>
        <v>0.6812108884867856</v>
      </c>
      <c r="U50" s="89">
        <f t="shared" si="10"/>
        <v>43800</v>
      </c>
      <c r="V50" s="119">
        <f t="shared" si="10"/>
        <v>25788.26</v>
      </c>
      <c r="W50" s="90">
        <f t="shared" si="11"/>
        <v>-18011.74</v>
      </c>
      <c r="X50" s="91">
        <f>V50/U50</f>
        <v>0.5887730593607305</v>
      </c>
      <c r="Y50" s="264">
        <f t="shared" si="17"/>
        <v>-0.43369757856862434</v>
      </c>
    </row>
    <row r="51" spans="1:25" s="6" customFormat="1" ht="15" customHeight="1" hidden="1">
      <c r="A51" s="8"/>
      <c r="B51" s="45" t="s">
        <v>88</v>
      </c>
      <c r="C51" s="86">
        <v>18050500</v>
      </c>
      <c r="D51" s="343">
        <v>80.8</v>
      </c>
      <c r="E51" s="87">
        <v>80.8</v>
      </c>
      <c r="F51" s="87">
        <v>20</v>
      </c>
      <c r="G51" s="115">
        <v>21.84</v>
      </c>
      <c r="H51" s="87">
        <f>G51-F51</f>
        <v>1.8399999999999999</v>
      </c>
      <c r="I51" s="277">
        <f>G51/F51</f>
        <v>1.092</v>
      </c>
      <c r="J51" s="88">
        <f t="shared" si="1"/>
        <v>-58.959999999999994</v>
      </c>
      <c r="K51" s="91">
        <f>G51/E51</f>
        <v>0.2702970297029703</v>
      </c>
      <c r="L51" s="88"/>
      <c r="M51" s="88"/>
      <c r="N51" s="88"/>
      <c r="O51" s="88">
        <v>67.63</v>
      </c>
      <c r="P51" s="88">
        <f t="shared" si="3"/>
        <v>13.170000000000002</v>
      </c>
      <c r="Q51" s="91">
        <f t="shared" si="4"/>
        <v>1.1947360638769777</v>
      </c>
      <c r="R51" s="105">
        <v>16.11</v>
      </c>
      <c r="S51" s="105">
        <f t="shared" si="5"/>
        <v>5.73</v>
      </c>
      <c r="T51" s="178">
        <f t="shared" si="20"/>
        <v>1.3556797020484173</v>
      </c>
      <c r="U51" s="89">
        <f t="shared" si="10"/>
        <v>20</v>
      </c>
      <c r="V51" s="119">
        <f t="shared" si="10"/>
        <v>21.84</v>
      </c>
      <c r="W51" s="90">
        <f t="shared" si="11"/>
        <v>1.8399999999999999</v>
      </c>
      <c r="X51" s="91"/>
      <c r="Y51" s="264">
        <f t="shared" si="17"/>
        <v>0.16094363817143953</v>
      </c>
    </row>
    <row r="52" spans="1:25" s="6" customFormat="1" ht="15" customHeight="1" hidden="1">
      <c r="A52" s="8"/>
      <c r="B52" s="191"/>
      <c r="C52" s="38"/>
      <c r="D52" s="342"/>
      <c r="E52" s="31">
        <v>0</v>
      </c>
      <c r="F52" s="31">
        <f>E52</f>
        <v>0</v>
      </c>
      <c r="G52" s="223">
        <v>0</v>
      </c>
      <c r="H52" s="31">
        <f>G52-F52</f>
        <v>0</v>
      </c>
      <c r="I52" s="276"/>
      <c r="J52" s="97">
        <f t="shared" si="1"/>
        <v>0</v>
      </c>
      <c r="K52" s="83"/>
      <c r="L52" s="34"/>
      <c r="M52" s="34"/>
      <c r="N52" s="34"/>
      <c r="O52" s="34"/>
      <c r="P52" s="34"/>
      <c r="Q52" s="83"/>
      <c r="R52" s="97">
        <v>0</v>
      </c>
      <c r="S52" s="97">
        <f t="shared" si="5"/>
        <v>0</v>
      </c>
      <c r="T52" s="179"/>
      <c r="U52" s="112">
        <f t="shared" si="10"/>
        <v>0</v>
      </c>
      <c r="V52" s="120">
        <f t="shared" si="10"/>
        <v>0</v>
      </c>
      <c r="W52" s="132">
        <f t="shared" si="11"/>
        <v>0</v>
      </c>
      <c r="X52" s="83"/>
      <c r="Y52" s="264">
        <f t="shared" si="17"/>
        <v>0</v>
      </c>
    </row>
    <row r="53" spans="1:25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47248.9</v>
      </c>
      <c r="E53" s="124">
        <f>E54+E55+E56+E57+E58+E60+E62+E63+E64+E65+E66+E71+E72+E76+E59+E61</f>
        <v>47248.9</v>
      </c>
      <c r="F53" s="124">
        <f>F54+F55+F56+F57+F58+F60+F62+F63+F64+F65+F66+F71+F72+F76+F59+F61</f>
        <v>7415.2</v>
      </c>
      <c r="G53" s="124">
        <f>G54+G55+G56+G57+G58+G60+G62+G63+G64+G65+G66+G71+G72+G76+G59+G61</f>
        <v>4622.3099999999995</v>
      </c>
      <c r="H53" s="124">
        <f>H54+H55+H56+H57+H58+H60+H62+H63+H64+H65+H66+H71+H72+H76+H59+H61</f>
        <v>-2792.89</v>
      </c>
      <c r="I53" s="168">
        <f aca="true" t="shared" si="21" ref="I53:I72">G53/F53</f>
        <v>0.6233560794044665</v>
      </c>
      <c r="J53" s="125">
        <f>G53-E53</f>
        <v>-42626.590000000004</v>
      </c>
      <c r="K53" s="181">
        <f aca="true" t="shared" si="22" ref="K53:K72">G53/E53</f>
        <v>0.09782894416589591</v>
      </c>
      <c r="L53" s="125"/>
      <c r="M53" s="125"/>
      <c r="N53" s="125"/>
      <c r="O53" s="125">
        <v>69380.98</v>
      </c>
      <c r="P53" s="125">
        <f>E53-O53</f>
        <v>-22132.079999999994</v>
      </c>
      <c r="Q53" s="181">
        <f>E53/O53</f>
        <v>0.681006523689922</v>
      </c>
      <c r="R53" s="221">
        <v>4227.73</v>
      </c>
      <c r="S53" s="124">
        <f t="shared" si="5"/>
        <v>394.5799999999999</v>
      </c>
      <c r="T53" s="168">
        <f>G53/R53</f>
        <v>1.0933314095270985</v>
      </c>
      <c r="U53" s="124">
        <f>U54+U55+U56+U57+U58+U60+U62+U63+U64+U65+U66+U71+U72+U76+U59+U61</f>
        <v>7415.2</v>
      </c>
      <c r="V53" s="124">
        <f>V54+V55+V56+V57+V58+V60+V62+V63+V64+V65+V66+V71+V72+V76+V59+V61</f>
        <v>4622.3099999999995</v>
      </c>
      <c r="W53" s="124">
        <f>W54+W55+W56+W57+W58+W60+W62+W63+W64+W65+W66+W71+W72+W76</f>
        <v>-2782.81</v>
      </c>
      <c r="X53" s="168">
        <f>V53/U53</f>
        <v>0.6233560794044665</v>
      </c>
      <c r="Y53" s="264">
        <f t="shared" si="17"/>
        <v>0.4123248858371765</v>
      </c>
    </row>
    <row r="54" spans="1:25" s="6" customFormat="1" ht="46.5">
      <c r="A54" s="8"/>
      <c r="B54" s="185" t="s">
        <v>93</v>
      </c>
      <c r="C54" s="38">
        <v>21010301</v>
      </c>
      <c r="D54" s="346">
        <v>2650</v>
      </c>
      <c r="E54" s="123">
        <v>2650</v>
      </c>
      <c r="F54" s="123">
        <v>101</v>
      </c>
      <c r="G54" s="127">
        <v>1.11</v>
      </c>
      <c r="H54" s="123">
        <f aca="true" t="shared" si="23" ref="H54:H78">G54-F54</f>
        <v>-99.89</v>
      </c>
      <c r="I54" s="281">
        <f t="shared" si="21"/>
        <v>0.010990099009900991</v>
      </c>
      <c r="J54" s="136">
        <f>G54-E54</f>
        <v>-2648.89</v>
      </c>
      <c r="K54" s="180">
        <f t="shared" si="22"/>
        <v>0.0004188679245283019</v>
      </c>
      <c r="L54" s="136"/>
      <c r="M54" s="136"/>
      <c r="N54" s="136"/>
      <c r="O54" s="136">
        <v>2633.96</v>
      </c>
      <c r="P54" s="136">
        <f>E54-O54</f>
        <v>16.039999999999964</v>
      </c>
      <c r="Q54" s="180">
        <f>E54/O54</f>
        <v>1.0060896900484442</v>
      </c>
      <c r="R54" s="136">
        <v>9.18</v>
      </c>
      <c r="S54" s="136">
        <f t="shared" si="5"/>
        <v>-8.07</v>
      </c>
      <c r="T54" s="180">
        <f>G54/R54</f>
        <v>0.12091503267973858</v>
      </c>
      <c r="U54" s="128">
        <f>F54</f>
        <v>101</v>
      </c>
      <c r="V54" s="131">
        <f>G54</f>
        <v>1.11</v>
      </c>
      <c r="W54" s="132">
        <f aca="true" t="shared" si="24" ref="W54:W78">V54-U54</f>
        <v>-99.89</v>
      </c>
      <c r="X54" s="180">
        <f>V54/U54</f>
        <v>0.010990099009900991</v>
      </c>
      <c r="Y54" s="264">
        <f t="shared" si="17"/>
        <v>-0.8851746573687056</v>
      </c>
    </row>
    <row r="55" spans="1:25" s="6" customFormat="1" ht="30.75">
      <c r="A55" s="8"/>
      <c r="B55" s="107" t="s">
        <v>72</v>
      </c>
      <c r="C55" s="37">
        <v>21050000</v>
      </c>
      <c r="D55" s="363">
        <v>5000</v>
      </c>
      <c r="E55" s="123">
        <v>5000</v>
      </c>
      <c r="F55" s="123">
        <v>1500</v>
      </c>
      <c r="G55" s="127">
        <v>280.08</v>
      </c>
      <c r="H55" s="123">
        <f t="shared" si="23"/>
        <v>-1219.92</v>
      </c>
      <c r="I55" s="281">
        <f t="shared" si="21"/>
        <v>0.18672</v>
      </c>
      <c r="J55" s="136">
        <f aca="true" t="shared" si="25" ref="J55:J78">G55-E55</f>
        <v>-4719.92</v>
      </c>
      <c r="K55" s="180">
        <f t="shared" si="22"/>
        <v>0.056015999999999996</v>
      </c>
      <c r="L55" s="136"/>
      <c r="M55" s="136"/>
      <c r="N55" s="136"/>
      <c r="O55" s="136">
        <v>27997.6</v>
      </c>
      <c r="P55" s="136">
        <f aca="true" t="shared" si="26" ref="P55:P72">E55-O55</f>
        <v>-22997.6</v>
      </c>
      <c r="Q55" s="180">
        <f aca="true" t="shared" si="27" ref="Q55:Q72">E55/O55</f>
        <v>0.17858673600594338</v>
      </c>
      <c r="R55" s="136">
        <v>2116.32</v>
      </c>
      <c r="S55" s="136">
        <f t="shared" si="5"/>
        <v>-1836.2400000000002</v>
      </c>
      <c r="T55" s="180">
        <f aca="true" t="shared" si="28" ref="T55:T78">G55/R55</f>
        <v>0.13234293490587434</v>
      </c>
      <c r="U55" s="128">
        <f aca="true" t="shared" si="29" ref="U55:V70">F55</f>
        <v>1500</v>
      </c>
      <c r="V55" s="131">
        <f t="shared" si="29"/>
        <v>280.08</v>
      </c>
      <c r="W55" s="132">
        <f t="shared" si="24"/>
        <v>-1219.92</v>
      </c>
      <c r="X55" s="180">
        <f aca="true" t="shared" si="30" ref="X55:X77">V55/U55</f>
        <v>0.18672</v>
      </c>
      <c r="Y55" s="264">
        <f t="shared" si="17"/>
        <v>-0.04624380110006904</v>
      </c>
    </row>
    <row r="56" spans="1:25" s="6" customFormat="1" ht="18">
      <c r="A56" s="8"/>
      <c r="B56" s="107" t="s">
        <v>59</v>
      </c>
      <c r="C56" s="37">
        <v>21080500</v>
      </c>
      <c r="D56" s="363">
        <v>158</v>
      </c>
      <c r="E56" s="123">
        <v>158</v>
      </c>
      <c r="F56" s="123">
        <v>1</v>
      </c>
      <c r="G56" s="127">
        <v>0</v>
      </c>
      <c r="H56" s="123">
        <f t="shared" si="23"/>
        <v>-1</v>
      </c>
      <c r="I56" s="281">
        <f t="shared" si="21"/>
        <v>0</v>
      </c>
      <c r="J56" s="136">
        <f t="shared" si="25"/>
        <v>-158</v>
      </c>
      <c r="K56" s="180">
        <f t="shared" si="22"/>
        <v>0</v>
      </c>
      <c r="L56" s="136"/>
      <c r="M56" s="136"/>
      <c r="N56" s="136"/>
      <c r="O56" s="136">
        <v>153.3</v>
      </c>
      <c r="P56" s="136">
        <f t="shared" si="26"/>
        <v>4.699999999999989</v>
      </c>
      <c r="Q56" s="180">
        <f t="shared" si="27"/>
        <v>1.030658838878017</v>
      </c>
      <c r="R56" s="136">
        <v>57.08</v>
      </c>
      <c r="S56" s="136">
        <f t="shared" si="5"/>
        <v>-57.08</v>
      </c>
      <c r="T56" s="180">
        <f t="shared" si="28"/>
        <v>0</v>
      </c>
      <c r="U56" s="128">
        <f t="shared" si="29"/>
        <v>1</v>
      </c>
      <c r="V56" s="131">
        <f t="shared" si="29"/>
        <v>0</v>
      </c>
      <c r="W56" s="132">
        <f t="shared" si="24"/>
        <v>-1</v>
      </c>
      <c r="X56" s="180">
        <f t="shared" si="30"/>
        <v>0</v>
      </c>
      <c r="Y56" s="264">
        <f t="shared" si="17"/>
        <v>-1.030658838878017</v>
      </c>
    </row>
    <row r="57" spans="1:25" s="6" customFormat="1" ht="31.5">
      <c r="A57" s="8"/>
      <c r="B57" s="195" t="s">
        <v>37</v>
      </c>
      <c r="C57" s="66">
        <v>21080900</v>
      </c>
      <c r="D57" s="364">
        <v>13</v>
      </c>
      <c r="E57" s="123">
        <v>13</v>
      </c>
      <c r="F57" s="123">
        <v>1</v>
      </c>
      <c r="G57" s="127">
        <v>2.02</v>
      </c>
      <c r="H57" s="123">
        <f t="shared" si="23"/>
        <v>1.02</v>
      </c>
      <c r="I57" s="281">
        <f t="shared" si="21"/>
        <v>2.02</v>
      </c>
      <c r="J57" s="136">
        <f t="shared" si="25"/>
        <v>-10.98</v>
      </c>
      <c r="K57" s="180">
        <f t="shared" si="22"/>
        <v>0.1553846153846154</v>
      </c>
      <c r="L57" s="136"/>
      <c r="M57" s="136"/>
      <c r="N57" s="136"/>
      <c r="O57" s="136">
        <v>12.95</v>
      </c>
      <c r="P57" s="136">
        <f t="shared" si="26"/>
        <v>0.05000000000000071</v>
      </c>
      <c r="Q57" s="293">
        <f t="shared" si="27"/>
        <v>1.0038610038610039</v>
      </c>
      <c r="R57" s="136">
        <v>2.03</v>
      </c>
      <c r="S57" s="136">
        <f t="shared" si="5"/>
        <v>-0.009999999999999787</v>
      </c>
      <c r="T57" s="180"/>
      <c r="U57" s="128">
        <f t="shared" si="29"/>
        <v>1</v>
      </c>
      <c r="V57" s="131">
        <f t="shared" si="29"/>
        <v>2.02</v>
      </c>
      <c r="W57" s="132">
        <f t="shared" si="24"/>
        <v>1.02</v>
      </c>
      <c r="X57" s="180">
        <f t="shared" si="30"/>
        <v>2.02</v>
      </c>
      <c r="Y57" s="264">
        <f t="shared" si="17"/>
        <v>-1.0038610038610039</v>
      </c>
    </row>
    <row r="58" spans="1:25" s="6" customFormat="1" ht="18">
      <c r="A58" s="8"/>
      <c r="B58" s="108" t="s">
        <v>16</v>
      </c>
      <c r="C58" s="67">
        <v>21081100</v>
      </c>
      <c r="D58" s="365">
        <v>744</v>
      </c>
      <c r="E58" s="123">
        <v>744</v>
      </c>
      <c r="F58" s="123">
        <v>40</v>
      </c>
      <c r="G58" s="127">
        <v>28.43</v>
      </c>
      <c r="H58" s="123">
        <f t="shared" si="23"/>
        <v>-11.57</v>
      </c>
      <c r="I58" s="281">
        <f t="shared" si="21"/>
        <v>0.71075</v>
      </c>
      <c r="J58" s="136">
        <f t="shared" si="25"/>
        <v>-715.57</v>
      </c>
      <c r="K58" s="180">
        <f t="shared" si="22"/>
        <v>0.03821236559139785</v>
      </c>
      <c r="L58" s="136"/>
      <c r="M58" s="136"/>
      <c r="N58" s="136"/>
      <c r="O58" s="136">
        <v>705.31</v>
      </c>
      <c r="P58" s="136">
        <f t="shared" si="26"/>
        <v>38.690000000000055</v>
      </c>
      <c r="Q58" s="180">
        <f t="shared" si="27"/>
        <v>1.0548553118486907</v>
      </c>
      <c r="R58" s="136">
        <v>82.08</v>
      </c>
      <c r="S58" s="136">
        <f t="shared" si="5"/>
        <v>-53.65</v>
      </c>
      <c r="T58" s="180">
        <f t="shared" si="28"/>
        <v>0.346369395711501</v>
      </c>
      <c r="U58" s="128">
        <f t="shared" si="29"/>
        <v>40</v>
      </c>
      <c r="V58" s="131">
        <f t="shared" si="29"/>
        <v>28.43</v>
      </c>
      <c r="W58" s="132">
        <f t="shared" si="24"/>
        <v>-11.57</v>
      </c>
      <c r="X58" s="180">
        <f t="shared" si="30"/>
        <v>0.71075</v>
      </c>
      <c r="Y58" s="264">
        <f t="shared" si="17"/>
        <v>-0.7084859161371897</v>
      </c>
    </row>
    <row r="59" spans="1:25" s="6" customFormat="1" ht="46.5">
      <c r="A59" s="8"/>
      <c r="B59" s="250" t="s">
        <v>75</v>
      </c>
      <c r="C59" s="67">
        <v>21081500</v>
      </c>
      <c r="D59" s="365">
        <v>115.5</v>
      </c>
      <c r="E59" s="123">
        <v>115.5</v>
      </c>
      <c r="F59" s="123">
        <v>2</v>
      </c>
      <c r="G59" s="127">
        <v>-8.08</v>
      </c>
      <c r="H59" s="123">
        <f t="shared" si="23"/>
        <v>-10.08</v>
      </c>
      <c r="I59" s="281">
        <f t="shared" si="21"/>
        <v>-4.04</v>
      </c>
      <c r="J59" s="136">
        <f t="shared" si="25"/>
        <v>-123.58</v>
      </c>
      <c r="K59" s="180">
        <f t="shared" si="22"/>
        <v>-0.06995670995670995</v>
      </c>
      <c r="L59" s="136"/>
      <c r="M59" s="136"/>
      <c r="N59" s="136"/>
      <c r="O59" s="136">
        <v>114.3</v>
      </c>
      <c r="P59" s="136">
        <f t="shared" si="26"/>
        <v>1.2000000000000028</v>
      </c>
      <c r="Q59" s="180">
        <f t="shared" si="27"/>
        <v>1.010498687664042</v>
      </c>
      <c r="R59" s="136">
        <v>0</v>
      </c>
      <c r="S59" s="136">
        <f t="shared" si="5"/>
        <v>-8.08</v>
      </c>
      <c r="T59" s="180" t="e">
        <f t="shared" si="28"/>
        <v>#DIV/0!</v>
      </c>
      <c r="U59" s="128">
        <f t="shared" si="29"/>
        <v>2</v>
      </c>
      <c r="V59" s="131">
        <f t="shared" si="29"/>
        <v>-8.08</v>
      </c>
      <c r="W59" s="132">
        <f t="shared" si="24"/>
        <v>-10.08</v>
      </c>
      <c r="X59" s="180">
        <f t="shared" si="30"/>
        <v>-4.04</v>
      </c>
      <c r="Y59" s="264" t="e">
        <f t="shared" si="17"/>
        <v>#DIV/0!</v>
      </c>
    </row>
    <row r="60" spans="1:25" s="6" customFormat="1" ht="30.75">
      <c r="A60" s="8"/>
      <c r="B60" s="250" t="s">
        <v>97</v>
      </c>
      <c r="C60" s="44">
        <v>22010300</v>
      </c>
      <c r="D60" s="350">
        <v>1284</v>
      </c>
      <c r="E60" s="123">
        <v>1284</v>
      </c>
      <c r="F60" s="123">
        <v>175</v>
      </c>
      <c r="G60" s="127">
        <v>113.92</v>
      </c>
      <c r="H60" s="123">
        <f t="shared" si="23"/>
        <v>-61.08</v>
      </c>
      <c r="I60" s="281">
        <f t="shared" si="21"/>
        <v>0.6509714285714285</v>
      </c>
      <c r="J60" s="136">
        <f t="shared" si="25"/>
        <v>-1170.08</v>
      </c>
      <c r="K60" s="180">
        <f t="shared" si="22"/>
        <v>0.0887227414330218</v>
      </c>
      <c r="L60" s="136"/>
      <c r="M60" s="136"/>
      <c r="N60" s="136"/>
      <c r="O60" s="136">
        <v>1205.14</v>
      </c>
      <c r="P60" s="136">
        <f t="shared" si="26"/>
        <v>78.8599999999999</v>
      </c>
      <c r="Q60" s="180">
        <f t="shared" si="27"/>
        <v>1.0654363808354215</v>
      </c>
      <c r="R60" s="136">
        <v>192.39</v>
      </c>
      <c r="S60" s="136">
        <f t="shared" si="5"/>
        <v>-78.46999999999998</v>
      </c>
      <c r="T60" s="180">
        <f t="shared" si="28"/>
        <v>0.5921305681168461</v>
      </c>
      <c r="U60" s="128">
        <f t="shared" si="29"/>
        <v>175</v>
      </c>
      <c r="V60" s="131">
        <f t="shared" si="29"/>
        <v>113.92</v>
      </c>
      <c r="W60" s="132">
        <f t="shared" si="24"/>
        <v>-61.08</v>
      </c>
      <c r="X60" s="180">
        <f t="shared" si="30"/>
        <v>0.6509714285714285</v>
      </c>
      <c r="Y60" s="264">
        <f t="shared" si="17"/>
        <v>-0.4733058127185754</v>
      </c>
    </row>
    <row r="61" spans="1:25" s="6" customFormat="1" ht="18">
      <c r="A61" s="8"/>
      <c r="B61" s="108" t="s">
        <v>127</v>
      </c>
      <c r="C61" s="44">
        <v>22010200</v>
      </c>
      <c r="D61" s="350"/>
      <c r="E61" s="123">
        <v>0</v>
      </c>
      <c r="F61" s="123">
        <v>0</v>
      </c>
      <c r="G61" s="127">
        <v>0</v>
      </c>
      <c r="H61" s="123">
        <f t="shared" si="23"/>
        <v>0</v>
      </c>
      <c r="I61" s="281" t="e">
        <f t="shared" si="21"/>
        <v>#DIV/0!</v>
      </c>
      <c r="J61" s="136">
        <f t="shared" si="25"/>
        <v>0</v>
      </c>
      <c r="K61" s="180" t="e">
        <f t="shared" si="22"/>
        <v>#DIV/0!</v>
      </c>
      <c r="L61" s="136"/>
      <c r="M61" s="136"/>
      <c r="N61" s="136"/>
      <c r="O61" s="136">
        <v>23.38</v>
      </c>
      <c r="P61" s="136">
        <f t="shared" si="26"/>
        <v>-23.38</v>
      </c>
      <c r="Q61" s="180">
        <f t="shared" si="27"/>
        <v>0</v>
      </c>
      <c r="R61" s="136">
        <v>0</v>
      </c>
      <c r="S61" s="136">
        <f t="shared" si="5"/>
        <v>0</v>
      </c>
      <c r="T61" s="180"/>
      <c r="U61" s="128">
        <f t="shared" si="29"/>
        <v>0</v>
      </c>
      <c r="V61" s="131">
        <f t="shared" si="29"/>
        <v>0</v>
      </c>
      <c r="W61" s="132">
        <f t="shared" si="24"/>
        <v>0</v>
      </c>
      <c r="X61" s="180" t="e">
        <f t="shared" si="30"/>
        <v>#DIV/0!</v>
      </c>
      <c r="Y61" s="264">
        <f t="shared" si="17"/>
        <v>0</v>
      </c>
    </row>
    <row r="62" spans="1:25" s="6" customFormat="1" ht="18">
      <c r="A62" s="8"/>
      <c r="B62" s="256" t="s">
        <v>73</v>
      </c>
      <c r="C62" s="67">
        <v>22012500</v>
      </c>
      <c r="D62" s="349">
        <v>21260</v>
      </c>
      <c r="E62" s="123">
        <v>21260</v>
      </c>
      <c r="F62" s="123">
        <v>3200</v>
      </c>
      <c r="G62" s="127">
        <v>2350.21</v>
      </c>
      <c r="H62" s="123">
        <f t="shared" si="23"/>
        <v>-849.79</v>
      </c>
      <c r="I62" s="281">
        <f t="shared" si="21"/>
        <v>0.734440625</v>
      </c>
      <c r="J62" s="136">
        <f t="shared" si="25"/>
        <v>-18909.79</v>
      </c>
      <c r="K62" s="180">
        <f t="shared" si="22"/>
        <v>0.11054609595484478</v>
      </c>
      <c r="L62" s="136"/>
      <c r="M62" s="136"/>
      <c r="N62" s="136"/>
      <c r="O62" s="136">
        <v>20110.14</v>
      </c>
      <c r="P62" s="136">
        <f t="shared" si="26"/>
        <v>1149.8600000000006</v>
      </c>
      <c r="Q62" s="180">
        <f t="shared" si="27"/>
        <v>1.0571781200926498</v>
      </c>
      <c r="R62" s="136">
        <v>2143.72</v>
      </c>
      <c r="S62" s="136">
        <f t="shared" si="5"/>
        <v>206.49000000000024</v>
      </c>
      <c r="T62" s="180">
        <f t="shared" si="28"/>
        <v>1.0963232138525556</v>
      </c>
      <c r="U62" s="128">
        <f t="shared" si="29"/>
        <v>3200</v>
      </c>
      <c r="V62" s="131">
        <f t="shared" si="29"/>
        <v>2350.21</v>
      </c>
      <c r="W62" s="132">
        <f t="shared" si="24"/>
        <v>-849.79</v>
      </c>
      <c r="X62" s="180">
        <f t="shared" si="30"/>
        <v>0.734440625</v>
      </c>
      <c r="Y62" s="264">
        <f t="shared" si="17"/>
        <v>0.039145093759905825</v>
      </c>
    </row>
    <row r="63" spans="1:25" s="6" customFormat="1" ht="31.5">
      <c r="A63" s="8"/>
      <c r="B63" s="256" t="s">
        <v>94</v>
      </c>
      <c r="C63" s="67">
        <v>22012600</v>
      </c>
      <c r="D63" s="349">
        <v>767</v>
      </c>
      <c r="E63" s="123">
        <v>767</v>
      </c>
      <c r="F63" s="123">
        <v>170</v>
      </c>
      <c r="G63" s="127">
        <v>68.5</v>
      </c>
      <c r="H63" s="123">
        <f t="shared" si="23"/>
        <v>-101.5</v>
      </c>
      <c r="I63" s="281">
        <f t="shared" si="21"/>
        <v>0.40294117647058825</v>
      </c>
      <c r="J63" s="136">
        <f t="shared" si="25"/>
        <v>-698.5</v>
      </c>
      <c r="K63" s="180">
        <f t="shared" si="22"/>
        <v>0.08930899608865711</v>
      </c>
      <c r="L63" s="136"/>
      <c r="M63" s="136"/>
      <c r="N63" s="136"/>
      <c r="O63" s="136">
        <v>710.04</v>
      </c>
      <c r="P63" s="136">
        <f t="shared" si="26"/>
        <v>56.960000000000036</v>
      </c>
      <c r="Q63" s="180">
        <f t="shared" si="27"/>
        <v>1.0802208326291478</v>
      </c>
      <c r="R63" s="136">
        <v>90.44</v>
      </c>
      <c r="S63" s="136">
        <f t="shared" si="5"/>
        <v>-21.939999999999998</v>
      </c>
      <c r="T63" s="180">
        <f t="shared" si="28"/>
        <v>0.7574082264484742</v>
      </c>
      <c r="U63" s="128">
        <f t="shared" si="29"/>
        <v>170</v>
      </c>
      <c r="V63" s="131">
        <f t="shared" si="29"/>
        <v>68.5</v>
      </c>
      <c r="W63" s="132">
        <f t="shared" si="24"/>
        <v>-101.5</v>
      </c>
      <c r="X63" s="180">
        <f t="shared" si="30"/>
        <v>0.40294117647058825</v>
      </c>
      <c r="Y63" s="264">
        <f t="shared" si="17"/>
        <v>-0.32281260618067364</v>
      </c>
    </row>
    <row r="64" spans="1:25" s="6" customFormat="1" ht="31.5">
      <c r="A64" s="8"/>
      <c r="B64" s="30" t="s">
        <v>98</v>
      </c>
      <c r="C64" s="67">
        <v>22012900</v>
      </c>
      <c r="D64" s="365">
        <v>44</v>
      </c>
      <c r="E64" s="123">
        <v>44</v>
      </c>
      <c r="F64" s="123">
        <v>2</v>
      </c>
      <c r="G64" s="127">
        <v>1.06</v>
      </c>
      <c r="H64" s="123">
        <f t="shared" si="23"/>
        <v>-0.94</v>
      </c>
      <c r="I64" s="281">
        <f t="shared" si="21"/>
        <v>0.53</v>
      </c>
      <c r="J64" s="136">
        <f t="shared" si="25"/>
        <v>-42.94</v>
      </c>
      <c r="K64" s="180">
        <f t="shared" si="22"/>
        <v>0.024090909090909093</v>
      </c>
      <c r="L64" s="136"/>
      <c r="M64" s="136"/>
      <c r="N64" s="136"/>
      <c r="O64" s="136">
        <v>41.44</v>
      </c>
      <c r="P64" s="136">
        <f t="shared" si="26"/>
        <v>2.5600000000000023</v>
      </c>
      <c r="Q64" s="180">
        <f t="shared" si="27"/>
        <v>1.0617760617760619</v>
      </c>
      <c r="R64" s="136">
        <v>0</v>
      </c>
      <c r="S64" s="136">
        <f t="shared" si="5"/>
        <v>1.06</v>
      </c>
      <c r="T64" s="180" t="e">
        <f t="shared" si="28"/>
        <v>#DIV/0!</v>
      </c>
      <c r="U64" s="128">
        <f t="shared" si="29"/>
        <v>2</v>
      </c>
      <c r="V64" s="131">
        <f t="shared" si="29"/>
        <v>1.06</v>
      </c>
      <c r="W64" s="132">
        <f t="shared" si="24"/>
        <v>-0.94</v>
      </c>
      <c r="X64" s="180">
        <f t="shared" si="30"/>
        <v>0.53</v>
      </c>
      <c r="Y64" s="264" t="e">
        <f t="shared" si="17"/>
        <v>#DIV/0!</v>
      </c>
    </row>
    <row r="65" spans="1:25" s="6" customFormat="1" ht="30.75">
      <c r="A65" s="8"/>
      <c r="B65" s="108" t="s">
        <v>14</v>
      </c>
      <c r="C65" s="44">
        <v>22080400</v>
      </c>
      <c r="D65" s="366">
        <v>6000</v>
      </c>
      <c r="E65" s="123">
        <v>6000</v>
      </c>
      <c r="F65" s="123">
        <v>1060</v>
      </c>
      <c r="G65" s="127">
        <v>1114.23</v>
      </c>
      <c r="H65" s="123">
        <f t="shared" si="23"/>
        <v>54.23000000000002</v>
      </c>
      <c r="I65" s="281">
        <f t="shared" si="21"/>
        <v>1.0511603773584905</v>
      </c>
      <c r="J65" s="136">
        <f t="shared" si="25"/>
        <v>-4885.77</v>
      </c>
      <c r="K65" s="180">
        <f t="shared" si="22"/>
        <v>0.185705</v>
      </c>
      <c r="L65" s="136"/>
      <c r="M65" s="136"/>
      <c r="N65" s="136"/>
      <c r="O65" s="136">
        <v>6545.96</v>
      </c>
      <c r="P65" s="136">
        <f t="shared" si="26"/>
        <v>-545.96</v>
      </c>
      <c r="Q65" s="180">
        <f t="shared" si="27"/>
        <v>0.9165958850955398</v>
      </c>
      <c r="R65" s="136">
        <v>1163.35</v>
      </c>
      <c r="S65" s="136">
        <f t="shared" si="5"/>
        <v>-49.11999999999989</v>
      </c>
      <c r="T65" s="180">
        <f t="shared" si="28"/>
        <v>0.9577771092104699</v>
      </c>
      <c r="U65" s="128">
        <f t="shared" si="29"/>
        <v>1060</v>
      </c>
      <c r="V65" s="131">
        <f t="shared" si="29"/>
        <v>1114.23</v>
      </c>
      <c r="W65" s="132">
        <f t="shared" si="24"/>
        <v>54.23000000000002</v>
      </c>
      <c r="X65" s="180">
        <f t="shared" si="30"/>
        <v>1.0511603773584905</v>
      </c>
      <c r="Y65" s="264">
        <f t="shared" si="17"/>
        <v>0.04118122411493008</v>
      </c>
    </row>
    <row r="66" spans="1:25" s="6" customFormat="1" ht="19.5" customHeight="1">
      <c r="A66" s="8"/>
      <c r="B66" s="108" t="s">
        <v>15</v>
      </c>
      <c r="C66" s="38">
        <v>22090000</v>
      </c>
      <c r="D66" s="346">
        <f>D67+D68+D70</f>
        <v>866</v>
      </c>
      <c r="E66" s="123">
        <f>E67+E68+E70</f>
        <v>866</v>
      </c>
      <c r="F66" s="123">
        <f>F67+F68+F70</f>
        <v>153.2</v>
      </c>
      <c r="G66" s="127">
        <v>63.62</v>
      </c>
      <c r="H66" s="123">
        <f t="shared" si="23"/>
        <v>-89.57999999999998</v>
      </c>
      <c r="I66" s="281">
        <f t="shared" si="21"/>
        <v>0.41527415143603136</v>
      </c>
      <c r="J66" s="136">
        <f t="shared" si="25"/>
        <v>-802.38</v>
      </c>
      <c r="K66" s="180">
        <f t="shared" si="22"/>
        <v>0.07346420323325635</v>
      </c>
      <c r="L66" s="136"/>
      <c r="M66" s="136"/>
      <c r="N66" s="136"/>
      <c r="O66" s="136">
        <v>896.22</v>
      </c>
      <c r="P66" s="136">
        <f t="shared" si="26"/>
        <v>-30.220000000000027</v>
      </c>
      <c r="Q66" s="180">
        <f t="shared" si="27"/>
        <v>0.9662806007453527</v>
      </c>
      <c r="R66" s="136">
        <v>89.05</v>
      </c>
      <c r="S66" s="136">
        <f t="shared" si="5"/>
        <v>-25.43</v>
      </c>
      <c r="T66" s="180">
        <f t="shared" si="28"/>
        <v>0.7144300954519932</v>
      </c>
      <c r="U66" s="128">
        <f t="shared" si="29"/>
        <v>153.2</v>
      </c>
      <c r="V66" s="131">
        <f t="shared" si="29"/>
        <v>63.62</v>
      </c>
      <c r="W66" s="132">
        <f t="shared" si="24"/>
        <v>-89.57999999999998</v>
      </c>
      <c r="X66" s="180">
        <f t="shared" si="30"/>
        <v>0.41527415143603136</v>
      </c>
      <c r="Y66" s="264">
        <f t="shared" si="17"/>
        <v>-0.2518505052933595</v>
      </c>
    </row>
    <row r="67" spans="1:25" s="6" customFormat="1" ht="15" hidden="1">
      <c r="A67" s="8"/>
      <c r="B67" s="262" t="s">
        <v>92</v>
      </c>
      <c r="C67" s="162">
        <v>22090100</v>
      </c>
      <c r="D67" s="347">
        <v>728.2</v>
      </c>
      <c r="E67" s="87">
        <v>728.2</v>
      </c>
      <c r="F67" s="87">
        <v>133</v>
      </c>
      <c r="G67" s="115">
        <v>49.71</v>
      </c>
      <c r="H67" s="87">
        <f t="shared" si="23"/>
        <v>-83.28999999999999</v>
      </c>
      <c r="I67" s="277">
        <f t="shared" si="21"/>
        <v>0.3737593984962406</v>
      </c>
      <c r="J67" s="88">
        <f t="shared" si="25"/>
        <v>-678.49</v>
      </c>
      <c r="K67" s="91">
        <f t="shared" si="22"/>
        <v>0.06826421312826146</v>
      </c>
      <c r="L67" s="88"/>
      <c r="M67" s="88"/>
      <c r="N67" s="88"/>
      <c r="O67" s="88">
        <v>760.62</v>
      </c>
      <c r="P67" s="88">
        <f t="shared" si="26"/>
        <v>-32.41999999999996</v>
      </c>
      <c r="Q67" s="91">
        <f t="shared" si="27"/>
        <v>0.957376876758434</v>
      </c>
      <c r="R67" s="88">
        <v>73.71</v>
      </c>
      <c r="S67" s="271">
        <f t="shared" si="5"/>
        <v>-23.999999999999993</v>
      </c>
      <c r="T67" s="272">
        <f t="shared" si="28"/>
        <v>0.6743996743996745</v>
      </c>
      <c r="U67" s="89">
        <f t="shared" si="29"/>
        <v>133</v>
      </c>
      <c r="V67" s="119">
        <f t="shared" si="29"/>
        <v>49.71</v>
      </c>
      <c r="W67" s="90">
        <f t="shared" si="24"/>
        <v>-83.28999999999999</v>
      </c>
      <c r="X67" s="91">
        <f t="shared" si="30"/>
        <v>0.3737593984962406</v>
      </c>
      <c r="Y67" s="264">
        <f t="shared" si="17"/>
        <v>-0.28297720235875945</v>
      </c>
    </row>
    <row r="68" spans="1:25" s="6" customFormat="1" ht="15" hidden="1">
      <c r="A68" s="8"/>
      <c r="B68" s="262" t="s">
        <v>89</v>
      </c>
      <c r="C68" s="162">
        <v>22090200</v>
      </c>
      <c r="D68" s="347">
        <v>1</v>
      </c>
      <c r="E68" s="87">
        <v>1</v>
      </c>
      <c r="F68" s="87">
        <v>0.2</v>
      </c>
      <c r="G68" s="115">
        <v>0</v>
      </c>
      <c r="H68" s="87">
        <f t="shared" si="23"/>
        <v>-0.2</v>
      </c>
      <c r="I68" s="277">
        <f t="shared" si="21"/>
        <v>0</v>
      </c>
      <c r="J68" s="88">
        <f t="shared" si="25"/>
        <v>-1</v>
      </c>
      <c r="K68" s="91">
        <f t="shared" si="22"/>
        <v>0</v>
      </c>
      <c r="L68" s="88"/>
      <c r="M68" s="88"/>
      <c r="N68" s="88"/>
      <c r="O68" s="88">
        <v>0.18</v>
      </c>
      <c r="P68" s="88">
        <f t="shared" si="26"/>
        <v>0.8200000000000001</v>
      </c>
      <c r="Q68" s="91">
        <f t="shared" si="27"/>
        <v>5.555555555555555</v>
      </c>
      <c r="R68" s="88">
        <v>0.1</v>
      </c>
      <c r="S68" s="271">
        <f t="shared" si="5"/>
        <v>-0.1</v>
      </c>
      <c r="T68" s="272">
        <f t="shared" si="28"/>
        <v>0</v>
      </c>
      <c r="U68" s="89">
        <f t="shared" si="29"/>
        <v>0.2</v>
      </c>
      <c r="V68" s="119">
        <f t="shared" si="29"/>
        <v>0</v>
      </c>
      <c r="W68" s="90">
        <f t="shared" si="24"/>
        <v>-0.2</v>
      </c>
      <c r="X68" s="91"/>
      <c r="Y68" s="264">
        <f t="shared" si="17"/>
        <v>-5.555555555555555</v>
      </c>
    </row>
    <row r="69" spans="1:25" s="6" customFormat="1" ht="15" hidden="1">
      <c r="A69" s="8"/>
      <c r="B69" s="262" t="s">
        <v>90</v>
      </c>
      <c r="C69" s="101">
        <v>22090300</v>
      </c>
      <c r="D69" s="345"/>
      <c r="E69" s="87">
        <v>0</v>
      </c>
      <c r="F69" s="87">
        <v>0</v>
      </c>
      <c r="G69" s="115">
        <v>0</v>
      </c>
      <c r="H69" s="87">
        <f t="shared" si="23"/>
        <v>0</v>
      </c>
      <c r="I69" s="277" t="e">
        <f t="shared" si="21"/>
        <v>#DIV/0!</v>
      </c>
      <c r="J69" s="88">
        <f t="shared" si="25"/>
        <v>0</v>
      </c>
      <c r="K69" s="91" t="e">
        <f t="shared" si="22"/>
        <v>#DIV/0!</v>
      </c>
      <c r="L69" s="88"/>
      <c r="M69" s="88"/>
      <c r="N69" s="88"/>
      <c r="O69" s="88">
        <v>0</v>
      </c>
      <c r="P69" s="88">
        <f t="shared" si="26"/>
        <v>0</v>
      </c>
      <c r="Q69" s="91" t="e">
        <f t="shared" si="27"/>
        <v>#DIV/0!</v>
      </c>
      <c r="R69" s="88">
        <f>O69</f>
        <v>0</v>
      </c>
      <c r="S69" s="271">
        <f t="shared" si="5"/>
        <v>0</v>
      </c>
      <c r="T69" s="272" t="e">
        <f t="shared" si="28"/>
        <v>#DIV/0!</v>
      </c>
      <c r="U69" s="89">
        <f t="shared" si="29"/>
        <v>0</v>
      </c>
      <c r="V69" s="119">
        <f t="shared" si="29"/>
        <v>0</v>
      </c>
      <c r="W69" s="90">
        <f t="shared" si="24"/>
        <v>0</v>
      </c>
      <c r="X69" s="91"/>
      <c r="Y69" s="264" t="e">
        <f t="shared" si="17"/>
        <v>#DIV/0!</v>
      </c>
    </row>
    <row r="70" spans="1:25" s="6" customFormat="1" ht="15" hidden="1">
      <c r="A70" s="8"/>
      <c r="B70" s="262" t="s">
        <v>91</v>
      </c>
      <c r="C70" s="162">
        <v>22090400</v>
      </c>
      <c r="D70" s="347">
        <v>136.8</v>
      </c>
      <c r="E70" s="87">
        <v>136.8</v>
      </c>
      <c r="F70" s="87">
        <v>20</v>
      </c>
      <c r="G70" s="115">
        <v>13.87</v>
      </c>
      <c r="H70" s="87">
        <f t="shared" si="23"/>
        <v>-6.130000000000001</v>
      </c>
      <c r="I70" s="277">
        <f t="shared" si="21"/>
        <v>0.6935</v>
      </c>
      <c r="J70" s="88">
        <f t="shared" si="25"/>
        <v>-122.93</v>
      </c>
      <c r="K70" s="91">
        <f t="shared" si="22"/>
        <v>0.10138888888888888</v>
      </c>
      <c r="L70" s="88"/>
      <c r="M70" s="88"/>
      <c r="N70" s="88"/>
      <c r="O70" s="88">
        <v>135.42</v>
      </c>
      <c r="P70" s="88">
        <f t="shared" si="26"/>
        <v>1.3800000000000239</v>
      </c>
      <c r="Q70" s="91">
        <f t="shared" si="27"/>
        <v>1.01019051838724</v>
      </c>
      <c r="R70" s="88">
        <v>15.24</v>
      </c>
      <c r="S70" s="271">
        <f t="shared" si="5"/>
        <v>-1.370000000000001</v>
      </c>
      <c r="T70" s="272">
        <f t="shared" si="28"/>
        <v>0.9101049868766403</v>
      </c>
      <c r="U70" s="89">
        <f t="shared" si="29"/>
        <v>20</v>
      </c>
      <c r="V70" s="119">
        <f t="shared" si="29"/>
        <v>13.87</v>
      </c>
      <c r="W70" s="90">
        <f t="shared" si="24"/>
        <v>-6.130000000000001</v>
      </c>
      <c r="X70" s="91">
        <f t="shared" si="30"/>
        <v>0.6935</v>
      </c>
      <c r="Y70" s="264">
        <f t="shared" si="17"/>
        <v>-0.10008553151059962</v>
      </c>
    </row>
    <row r="71" spans="1:25" s="6" customFormat="1" ht="46.5">
      <c r="A71" s="8"/>
      <c r="B71" s="108" t="s">
        <v>17</v>
      </c>
      <c r="C71" s="11" t="s">
        <v>18</v>
      </c>
      <c r="D71" s="351">
        <v>3</v>
      </c>
      <c r="E71" s="123">
        <v>3</v>
      </c>
      <c r="F71" s="123">
        <v>0</v>
      </c>
      <c r="G71" s="127">
        <v>0</v>
      </c>
      <c r="H71" s="123">
        <f t="shared" si="23"/>
        <v>0</v>
      </c>
      <c r="I71" s="281" t="e">
        <f t="shared" si="21"/>
        <v>#DIV/0!</v>
      </c>
      <c r="J71" s="136">
        <f t="shared" si="25"/>
        <v>-3</v>
      </c>
      <c r="K71" s="180">
        <f t="shared" si="22"/>
        <v>0</v>
      </c>
      <c r="L71" s="136"/>
      <c r="M71" s="136"/>
      <c r="N71" s="136"/>
      <c r="O71" s="136">
        <v>2.04</v>
      </c>
      <c r="P71" s="136">
        <f t="shared" si="26"/>
        <v>0.96</v>
      </c>
      <c r="Q71" s="180">
        <f t="shared" si="27"/>
        <v>1.4705882352941175</v>
      </c>
      <c r="R71" s="136">
        <v>1.67</v>
      </c>
      <c r="S71" s="136">
        <f t="shared" si="5"/>
        <v>-1.67</v>
      </c>
      <c r="T71" s="180">
        <f t="shared" si="28"/>
        <v>0</v>
      </c>
      <c r="U71" s="128">
        <f aca="true" t="shared" si="31" ref="U71:V78">F71</f>
        <v>0</v>
      </c>
      <c r="V71" s="131">
        <f t="shared" si="31"/>
        <v>0</v>
      </c>
      <c r="W71" s="132">
        <f t="shared" si="24"/>
        <v>0</v>
      </c>
      <c r="X71" s="180"/>
      <c r="Y71" s="264">
        <f t="shared" si="17"/>
        <v>-1.4705882352941175</v>
      </c>
    </row>
    <row r="72" spans="1:25" s="6" customFormat="1" ht="15.75" customHeight="1">
      <c r="A72" s="8"/>
      <c r="B72" s="109" t="s">
        <v>13</v>
      </c>
      <c r="C72" s="11" t="s">
        <v>19</v>
      </c>
      <c r="D72" s="351">
        <v>8170</v>
      </c>
      <c r="E72" s="123">
        <v>8170</v>
      </c>
      <c r="F72" s="123">
        <v>1000</v>
      </c>
      <c r="G72" s="127">
        <v>607.21</v>
      </c>
      <c r="H72" s="123">
        <f t="shared" si="23"/>
        <v>-392.78999999999996</v>
      </c>
      <c r="I72" s="281">
        <f t="shared" si="21"/>
        <v>0.60721</v>
      </c>
      <c r="J72" s="136">
        <f t="shared" si="25"/>
        <v>-7562.79</v>
      </c>
      <c r="K72" s="180">
        <f t="shared" si="22"/>
        <v>0.07432190942472461</v>
      </c>
      <c r="L72" s="136"/>
      <c r="M72" s="136"/>
      <c r="N72" s="136"/>
      <c r="O72" s="136">
        <v>8086.92</v>
      </c>
      <c r="P72" s="136">
        <f t="shared" si="26"/>
        <v>83.07999999999993</v>
      </c>
      <c r="Q72" s="180">
        <f t="shared" si="27"/>
        <v>1.0102733797292418</v>
      </c>
      <c r="R72" s="136">
        <v>2711.43</v>
      </c>
      <c r="S72" s="136">
        <f t="shared" si="5"/>
        <v>-2104.22</v>
      </c>
      <c r="T72" s="180">
        <f t="shared" si="28"/>
        <v>0.22394456061930423</v>
      </c>
      <c r="U72" s="128">
        <f t="shared" si="31"/>
        <v>1000</v>
      </c>
      <c r="V72" s="131">
        <f t="shared" si="31"/>
        <v>607.21</v>
      </c>
      <c r="W72" s="132">
        <f t="shared" si="24"/>
        <v>-392.78999999999996</v>
      </c>
      <c r="X72" s="180">
        <f t="shared" si="30"/>
        <v>0.60721</v>
      </c>
      <c r="Y72" s="264">
        <f t="shared" si="17"/>
        <v>-0.7863288191099376</v>
      </c>
    </row>
    <row r="73" spans="1:25" s="6" customFormat="1" ht="18" hidden="1">
      <c r="A73" s="8"/>
      <c r="B73" s="12" t="s">
        <v>22</v>
      </c>
      <c r="C73" s="56" t="s">
        <v>23</v>
      </c>
      <c r="D73" s="352"/>
      <c r="E73" s="28">
        <v>0</v>
      </c>
      <c r="F73" s="28">
        <v>0</v>
      </c>
      <c r="G73" s="114">
        <v>0</v>
      </c>
      <c r="H73" s="123">
        <f t="shared" si="23"/>
        <v>0</v>
      </c>
      <c r="I73" s="281" t="e">
        <f>G73/F73*100</f>
        <v>#DIV/0!</v>
      </c>
      <c r="J73" s="136">
        <f t="shared" si="25"/>
        <v>0</v>
      </c>
      <c r="K73" s="180" t="e">
        <f>G73/E73*100</f>
        <v>#DIV/0!</v>
      </c>
      <c r="L73" s="136"/>
      <c r="M73" s="136"/>
      <c r="N73" s="136"/>
      <c r="O73" s="136"/>
      <c r="P73" s="136"/>
      <c r="Q73" s="180"/>
      <c r="R73" s="136">
        <v>0</v>
      </c>
      <c r="S73" s="136">
        <f t="shared" si="5"/>
        <v>0</v>
      </c>
      <c r="T73" s="180" t="e">
        <f t="shared" si="28"/>
        <v>#DIV/0!</v>
      </c>
      <c r="U73" s="128">
        <f t="shared" si="31"/>
        <v>0</v>
      </c>
      <c r="V73" s="131">
        <f t="shared" si="31"/>
        <v>0</v>
      </c>
      <c r="W73" s="132">
        <f t="shared" si="24"/>
        <v>0</v>
      </c>
      <c r="X73" s="180" t="e">
        <f t="shared" si="30"/>
        <v>#DIV/0!</v>
      </c>
      <c r="Y73" s="264" t="e">
        <f t="shared" si="17"/>
        <v>#DIV/0!</v>
      </c>
    </row>
    <row r="74" spans="1:25" s="6" customFormat="1" ht="30.75" hidden="1">
      <c r="A74" s="8"/>
      <c r="B74" s="45" t="s">
        <v>40</v>
      </c>
      <c r="C74" s="56"/>
      <c r="D74" s="352"/>
      <c r="E74" s="87"/>
      <c r="F74" s="87"/>
      <c r="G74" s="165">
        <v>0</v>
      </c>
      <c r="H74" s="204"/>
      <c r="I74" s="281"/>
      <c r="J74" s="205"/>
      <c r="K74" s="230"/>
      <c r="L74" s="205"/>
      <c r="M74" s="205"/>
      <c r="N74" s="205"/>
      <c r="O74" s="205">
        <v>1411.18</v>
      </c>
      <c r="P74" s="136"/>
      <c r="Q74" s="180"/>
      <c r="R74" s="137">
        <f>O74</f>
        <v>1411.18</v>
      </c>
      <c r="S74" s="205"/>
      <c r="T74" s="230">
        <f t="shared" si="28"/>
        <v>0</v>
      </c>
      <c r="U74" s="128">
        <f t="shared" si="31"/>
        <v>0</v>
      </c>
      <c r="V74" s="131">
        <f t="shared" si="31"/>
        <v>0</v>
      </c>
      <c r="W74" s="137">
        <f t="shared" si="24"/>
        <v>0</v>
      </c>
      <c r="X74" s="180"/>
      <c r="Y74" s="264"/>
    </row>
    <row r="75" spans="1:25" s="6" customFormat="1" ht="18" hidden="1">
      <c r="A75" s="8"/>
      <c r="B75" s="109" t="s">
        <v>20</v>
      </c>
      <c r="C75" s="106" t="s">
        <v>21</v>
      </c>
      <c r="D75" s="353"/>
      <c r="E75" s="31">
        <v>0</v>
      </c>
      <c r="F75" s="31">
        <v>0</v>
      </c>
      <c r="G75" s="116">
        <v>0</v>
      </c>
      <c r="H75" s="123">
        <f t="shared" si="23"/>
        <v>0</v>
      </c>
      <c r="I75" s="281" t="e">
        <f>G75/F75*100</f>
        <v>#DIV/0!</v>
      </c>
      <c r="J75" s="136">
        <f t="shared" si="25"/>
        <v>0</v>
      </c>
      <c r="K75" s="180" t="e">
        <f>G75/E75*100</f>
        <v>#DIV/0!</v>
      </c>
      <c r="L75" s="136"/>
      <c r="M75" s="136"/>
      <c r="N75" s="136"/>
      <c r="O75" s="136"/>
      <c r="P75" s="136"/>
      <c r="Q75" s="180"/>
      <c r="R75" s="137">
        <v>0</v>
      </c>
      <c r="S75" s="136">
        <f t="shared" si="5"/>
        <v>0</v>
      </c>
      <c r="T75" s="180" t="e">
        <f t="shared" si="28"/>
        <v>#DIV/0!</v>
      </c>
      <c r="U75" s="128">
        <f t="shared" si="31"/>
        <v>0</v>
      </c>
      <c r="V75" s="131">
        <f t="shared" si="31"/>
        <v>0</v>
      </c>
      <c r="W75" s="132">
        <f t="shared" si="24"/>
        <v>0</v>
      </c>
      <c r="X75" s="180" t="e">
        <f t="shared" si="30"/>
        <v>#DIV/0!</v>
      </c>
      <c r="Y75" s="264" t="e">
        <f t="shared" si="17"/>
        <v>#DIV/0!</v>
      </c>
    </row>
    <row r="76" spans="1:25" s="6" customFormat="1" ht="44.25" customHeight="1">
      <c r="A76" s="8"/>
      <c r="B76" s="109" t="s">
        <v>41</v>
      </c>
      <c r="C76" s="38">
        <v>24061900</v>
      </c>
      <c r="D76" s="342">
        <v>174.4</v>
      </c>
      <c r="E76" s="123">
        <v>174.4</v>
      </c>
      <c r="F76" s="123">
        <v>10</v>
      </c>
      <c r="G76" s="127">
        <v>0</v>
      </c>
      <c r="H76" s="123">
        <f t="shared" si="23"/>
        <v>-10</v>
      </c>
      <c r="I76" s="281">
        <f>G76/F76</f>
        <v>0</v>
      </c>
      <c r="J76" s="136">
        <f t="shared" si="25"/>
        <v>-174.4</v>
      </c>
      <c r="K76" s="180">
        <f>G76/E76</f>
        <v>0</v>
      </c>
      <c r="L76" s="136"/>
      <c r="M76" s="136"/>
      <c r="N76" s="136"/>
      <c r="O76" s="136">
        <v>142.18</v>
      </c>
      <c r="P76" s="136">
        <f>E76-O76</f>
        <v>32.22</v>
      </c>
      <c r="Q76" s="180">
        <f>E76/O76</f>
        <v>1.2266141510761006</v>
      </c>
      <c r="R76" s="136">
        <v>32.89</v>
      </c>
      <c r="S76" s="136">
        <f t="shared" si="5"/>
        <v>-32.89</v>
      </c>
      <c r="T76" s="180">
        <f t="shared" si="28"/>
        <v>0</v>
      </c>
      <c r="U76" s="128">
        <f t="shared" si="31"/>
        <v>10</v>
      </c>
      <c r="V76" s="131">
        <f t="shared" si="31"/>
        <v>0</v>
      </c>
      <c r="W76" s="132">
        <f t="shared" si="24"/>
        <v>-10</v>
      </c>
      <c r="X76" s="180">
        <f t="shared" si="30"/>
        <v>0</v>
      </c>
      <c r="Y76" s="264">
        <f t="shared" si="17"/>
        <v>-1.2266141510761006</v>
      </c>
    </row>
    <row r="77" spans="1:25" s="6" customFormat="1" ht="27.75" customHeight="1">
      <c r="A77" s="8"/>
      <c r="B77" s="109" t="s">
        <v>42</v>
      </c>
      <c r="C77" s="38">
        <v>31010200</v>
      </c>
      <c r="D77" s="342">
        <v>35</v>
      </c>
      <c r="E77" s="123">
        <v>35</v>
      </c>
      <c r="F77" s="123">
        <v>3</v>
      </c>
      <c r="G77" s="127">
        <v>3.77</v>
      </c>
      <c r="H77" s="123">
        <f t="shared" si="23"/>
        <v>0.77</v>
      </c>
      <c r="I77" s="281">
        <f>G77/F77</f>
        <v>1.2566666666666666</v>
      </c>
      <c r="J77" s="136">
        <f t="shared" si="25"/>
        <v>-31.23</v>
      </c>
      <c r="K77" s="180">
        <f>G77/E77</f>
        <v>0.10771428571428572</v>
      </c>
      <c r="L77" s="136"/>
      <c r="M77" s="136"/>
      <c r="N77" s="136"/>
      <c r="O77" s="136">
        <v>34.22</v>
      </c>
      <c r="P77" s="136">
        <f>E77-O77</f>
        <v>0.7800000000000011</v>
      </c>
      <c r="Q77" s="180">
        <f>E77/O77</f>
        <v>1.0227936879018118</v>
      </c>
      <c r="R77" s="136">
        <v>8.6</v>
      </c>
      <c r="S77" s="136">
        <f t="shared" si="5"/>
        <v>-4.83</v>
      </c>
      <c r="T77" s="180">
        <f t="shared" si="28"/>
        <v>0.43837209302325586</v>
      </c>
      <c r="U77" s="128">
        <f t="shared" si="31"/>
        <v>3</v>
      </c>
      <c r="V77" s="131">
        <f t="shared" si="31"/>
        <v>3.77</v>
      </c>
      <c r="W77" s="132">
        <f t="shared" si="24"/>
        <v>0.77</v>
      </c>
      <c r="X77" s="180">
        <f t="shared" si="30"/>
        <v>1.2566666666666666</v>
      </c>
      <c r="Y77" s="264">
        <f t="shared" si="17"/>
        <v>-0.5844215948785559</v>
      </c>
    </row>
    <row r="78" spans="1:25" s="6" customFormat="1" ht="30.75">
      <c r="A78" s="8"/>
      <c r="B78" s="109" t="s">
        <v>55</v>
      </c>
      <c r="C78" s="38">
        <v>31020000</v>
      </c>
      <c r="D78" s="342"/>
      <c r="E78" s="123">
        <v>0</v>
      </c>
      <c r="F78" s="123">
        <f>E78</f>
        <v>0</v>
      </c>
      <c r="G78" s="127">
        <v>0</v>
      </c>
      <c r="H78" s="123">
        <f t="shared" si="23"/>
        <v>0</v>
      </c>
      <c r="I78" s="281" t="e">
        <f>G78/F78</f>
        <v>#DIV/0!</v>
      </c>
      <c r="J78" s="136">
        <f t="shared" si="25"/>
        <v>0</v>
      </c>
      <c r="K78" s="180"/>
      <c r="L78" s="136"/>
      <c r="M78" s="136"/>
      <c r="N78" s="136"/>
      <c r="O78" s="136">
        <v>-4.86</v>
      </c>
      <c r="P78" s="136">
        <f>E78-O78</f>
        <v>4.86</v>
      </c>
      <c r="Q78" s="180">
        <f>E78/O78</f>
        <v>0</v>
      </c>
      <c r="R78" s="136">
        <v>-5.33</v>
      </c>
      <c r="S78" s="136">
        <f t="shared" si="5"/>
        <v>5.33</v>
      </c>
      <c r="T78" s="180">
        <f t="shared" si="28"/>
        <v>0</v>
      </c>
      <c r="U78" s="128">
        <f t="shared" si="31"/>
        <v>0</v>
      </c>
      <c r="V78" s="131">
        <f t="shared" si="31"/>
        <v>0</v>
      </c>
      <c r="W78" s="132">
        <f t="shared" si="24"/>
        <v>0</v>
      </c>
      <c r="X78" s="180"/>
      <c r="Y78" s="264">
        <f t="shared" si="17"/>
        <v>0</v>
      </c>
    </row>
    <row r="79" spans="1:25" s="6" customFormat="1" ht="17.25">
      <c r="A79" s="9"/>
      <c r="B79" s="13" t="s">
        <v>124</v>
      </c>
      <c r="C79" s="57"/>
      <c r="D79" s="14">
        <f>D8+D53+D77+D78</f>
        <v>1627917.7</v>
      </c>
      <c r="E79" s="124">
        <f>E8+E53+E77+E78</f>
        <v>1627917.7</v>
      </c>
      <c r="F79" s="124">
        <f>F8+F53+F77+F78</f>
        <v>236876.21000000002</v>
      </c>
      <c r="G79" s="124">
        <f>G8+G53+G77+G78</f>
        <v>131929.53999999998</v>
      </c>
      <c r="H79" s="124">
        <f>G79-F79</f>
        <v>-104946.67000000004</v>
      </c>
      <c r="I79" s="278">
        <f>G79/F79</f>
        <v>0.5569556351817684</v>
      </c>
      <c r="J79" s="125">
        <f>G79-E79</f>
        <v>-1495988.16</v>
      </c>
      <c r="K79" s="181">
        <f>G79/E79</f>
        <v>0.08104189787972696</v>
      </c>
      <c r="L79" s="125"/>
      <c r="M79" s="125"/>
      <c r="N79" s="125"/>
      <c r="O79" s="125">
        <v>1398996.46</v>
      </c>
      <c r="P79" s="125">
        <f>E79-O79</f>
        <v>228921.24</v>
      </c>
      <c r="Q79" s="181">
        <f>E79/O79</f>
        <v>1.163632465517461</v>
      </c>
      <c r="R79" s="124">
        <v>203526.37</v>
      </c>
      <c r="S79" s="125">
        <f>G79-R79</f>
        <v>-71596.83000000002</v>
      </c>
      <c r="T79" s="181">
        <f>G79/R79</f>
        <v>0.6482184102236972</v>
      </c>
      <c r="U79" s="124">
        <f>U8+U53+U77+U78</f>
        <v>236876.21000000002</v>
      </c>
      <c r="V79" s="124">
        <f>V8+V53+V77+V78</f>
        <v>131929.53999999998</v>
      </c>
      <c r="W79" s="159">
        <f>V79-U79</f>
        <v>-104946.67000000004</v>
      </c>
      <c r="X79" s="181">
        <f>V79/U79</f>
        <v>0.5569556351817684</v>
      </c>
      <c r="Y79" s="264">
        <f t="shared" si="17"/>
        <v>-0.5154140552937638</v>
      </c>
    </row>
    <row r="80" spans="1:25" s="43" customFormat="1" ht="17.25" hidden="1">
      <c r="A80" s="40"/>
      <c r="B80" s="50"/>
      <c r="C80" s="58"/>
      <c r="D80" s="354"/>
      <c r="E80" s="41"/>
      <c r="F80" s="41"/>
      <c r="G80" s="77"/>
      <c r="H80" s="72"/>
      <c r="I80" s="282"/>
      <c r="J80" s="49"/>
      <c r="K80" s="84"/>
      <c r="L80" s="32"/>
      <c r="M80" s="32"/>
      <c r="N80" s="32"/>
      <c r="O80" s="32"/>
      <c r="P80" s="32"/>
      <c r="Q80" s="84"/>
      <c r="R80" s="32"/>
      <c r="S80" s="32"/>
      <c r="T80" s="32"/>
      <c r="U80" s="42"/>
      <c r="V80" s="41"/>
      <c r="W80" s="74"/>
      <c r="X80" s="84"/>
      <c r="Y80" s="264">
        <f t="shared" si="17"/>
        <v>0</v>
      </c>
    </row>
    <row r="81" spans="1:25" s="43" customFormat="1" ht="17.25" hidden="1">
      <c r="A81" s="40"/>
      <c r="B81" s="51"/>
      <c r="C81" s="58"/>
      <c r="D81" s="354"/>
      <c r="E81" s="52"/>
      <c r="F81" s="41"/>
      <c r="G81" s="77"/>
      <c r="H81" s="36"/>
      <c r="I81" s="282"/>
      <c r="J81" s="53"/>
      <c r="K81" s="84"/>
      <c r="L81" s="32"/>
      <c r="M81" s="32"/>
      <c r="N81" s="32"/>
      <c r="O81" s="32"/>
      <c r="P81" s="32"/>
      <c r="Q81" s="84"/>
      <c r="R81" s="32"/>
      <c r="S81" s="32"/>
      <c r="T81" s="32"/>
      <c r="U81" s="27"/>
      <c r="V81" s="41"/>
      <c r="W81" s="54"/>
      <c r="X81" s="84"/>
      <c r="Y81" s="264">
        <f t="shared" si="17"/>
        <v>0</v>
      </c>
    </row>
    <row r="82" spans="1:25" s="43" customFormat="1" ht="17.25" hidden="1">
      <c r="A82" s="40"/>
      <c r="B82" s="51"/>
      <c r="C82" s="58"/>
      <c r="D82" s="354"/>
      <c r="E82" s="52"/>
      <c r="F82" s="31"/>
      <c r="G82" s="92"/>
      <c r="H82" s="36"/>
      <c r="I82" s="282"/>
      <c r="J82" s="53"/>
      <c r="K82" s="84"/>
      <c r="L82" s="32"/>
      <c r="M82" s="32"/>
      <c r="N82" s="32"/>
      <c r="O82" s="32"/>
      <c r="P82" s="32"/>
      <c r="Q82" s="84"/>
      <c r="R82" s="32"/>
      <c r="S82" s="32"/>
      <c r="T82" s="32"/>
      <c r="U82" s="27"/>
      <c r="V82" s="52"/>
      <c r="W82" s="74"/>
      <c r="X82" s="84"/>
      <c r="Y82" s="264">
        <f t="shared" si="17"/>
        <v>0</v>
      </c>
    </row>
    <row r="83" spans="2:25" ht="15">
      <c r="B83" s="21" t="s">
        <v>100</v>
      </c>
      <c r="C83" s="59"/>
      <c r="D83" s="355"/>
      <c r="E83" s="23"/>
      <c r="F83" s="23"/>
      <c r="G83" s="117"/>
      <c r="H83" s="31"/>
      <c r="I83" s="283"/>
      <c r="J83" s="35"/>
      <c r="K83" s="85"/>
      <c r="L83" s="35"/>
      <c r="M83" s="35"/>
      <c r="N83" s="35"/>
      <c r="O83" s="35"/>
      <c r="P83" s="35"/>
      <c r="Q83" s="85"/>
      <c r="R83" s="35"/>
      <c r="S83" s="35"/>
      <c r="T83" s="35"/>
      <c r="U83" s="28"/>
      <c r="V83" s="121"/>
      <c r="W83" s="33"/>
      <c r="X83" s="85"/>
      <c r="Y83" s="264">
        <f t="shared" si="17"/>
        <v>0</v>
      </c>
    </row>
    <row r="84" spans="2:25" ht="25.5" customHeight="1" hidden="1">
      <c r="B84" s="192" t="s">
        <v>95</v>
      </c>
      <c r="C84" s="111">
        <v>12020000</v>
      </c>
      <c r="D84" s="356"/>
      <c r="E84" s="146">
        <v>0</v>
      </c>
      <c r="F84" s="146"/>
      <c r="G84" s="147">
        <v>0.01</v>
      </c>
      <c r="H84" s="133"/>
      <c r="I84" s="281"/>
      <c r="J84" s="138"/>
      <c r="K84" s="172"/>
      <c r="L84" s="138"/>
      <c r="M84" s="138"/>
      <c r="N84" s="138"/>
      <c r="O84" s="138"/>
      <c r="P84" s="138"/>
      <c r="Q84" s="172"/>
      <c r="R84" s="138">
        <f>O84</f>
        <v>0</v>
      </c>
      <c r="S84" s="138">
        <f>G84-R84</f>
        <v>0.01</v>
      </c>
      <c r="T84" s="172" t="e">
        <f>G84/R84</f>
        <v>#DIV/0!</v>
      </c>
      <c r="U84" s="133">
        <f>F84</f>
        <v>0</v>
      </c>
      <c r="V84" s="131">
        <f>G84</f>
        <v>0.01</v>
      </c>
      <c r="W84" s="138"/>
      <c r="X84" s="172"/>
      <c r="Y84" s="264" t="e">
        <f t="shared" si="17"/>
        <v>#DIV/0!</v>
      </c>
    </row>
    <row r="85" spans="2:25" ht="31.5" hidden="1">
      <c r="B85" s="22" t="s">
        <v>60</v>
      </c>
      <c r="C85" s="68">
        <v>18041500</v>
      </c>
      <c r="D85" s="357"/>
      <c r="E85" s="146">
        <v>0</v>
      </c>
      <c r="F85" s="146">
        <v>0</v>
      </c>
      <c r="G85" s="147">
        <v>0</v>
      </c>
      <c r="H85" s="133">
        <f>G85-F85</f>
        <v>0</v>
      </c>
      <c r="I85" s="281"/>
      <c r="J85" s="138">
        <f>G85-E85</f>
        <v>0</v>
      </c>
      <c r="K85" s="172"/>
      <c r="L85" s="138"/>
      <c r="M85" s="138"/>
      <c r="N85" s="138"/>
      <c r="O85" s="138">
        <v>-2.64</v>
      </c>
      <c r="P85" s="138">
        <f>E85-O85</f>
        <v>2.64</v>
      </c>
      <c r="Q85" s="172">
        <f>E85/O85</f>
        <v>0</v>
      </c>
      <c r="R85" s="138">
        <v>0</v>
      </c>
      <c r="S85" s="138">
        <f>G85-R85</f>
        <v>0</v>
      </c>
      <c r="T85" s="172" t="e">
        <f>G85/R85</f>
        <v>#DIV/0!</v>
      </c>
      <c r="U85" s="133">
        <f>F85</f>
        <v>0</v>
      </c>
      <c r="V85" s="131">
        <f>G85</f>
        <v>0</v>
      </c>
      <c r="W85" s="138">
        <f>V85-U85</f>
        <v>0</v>
      </c>
      <c r="X85" s="172"/>
      <c r="Y85" s="264" t="e">
        <f t="shared" si="17"/>
        <v>#DIV/0!</v>
      </c>
    </row>
    <row r="86" spans="2:25" ht="17.25">
      <c r="B86" s="25" t="s">
        <v>43</v>
      </c>
      <c r="C86" s="69"/>
      <c r="D86" s="148">
        <f>D85</f>
        <v>0</v>
      </c>
      <c r="E86" s="148">
        <f>E85</f>
        <v>0</v>
      </c>
      <c r="F86" s="148">
        <f>F85</f>
        <v>0</v>
      </c>
      <c r="G86" s="149">
        <f>SUM(G84:G85)</f>
        <v>0.01</v>
      </c>
      <c r="H86" s="150">
        <f>G86-F86</f>
        <v>0.01</v>
      </c>
      <c r="I86" s="284"/>
      <c r="J86" s="152">
        <f>G86-E86</f>
        <v>0.01</v>
      </c>
      <c r="K86" s="176"/>
      <c r="L86" s="152"/>
      <c r="M86" s="152"/>
      <c r="N86" s="152"/>
      <c r="O86" s="152">
        <v>-2.64</v>
      </c>
      <c r="P86" s="152">
        <f>E86-O86</f>
        <v>2.64</v>
      </c>
      <c r="Q86" s="176">
        <f>E86/O86</f>
        <v>0</v>
      </c>
      <c r="R86" s="152">
        <v>0</v>
      </c>
      <c r="S86" s="152">
        <f aca="true" t="shared" si="32" ref="S86:S98">G86-R86</f>
        <v>0.01</v>
      </c>
      <c r="T86" s="176" t="e">
        <f aca="true" t="shared" si="33" ref="T86:T101">G86/R86</f>
        <v>#DIV/0!</v>
      </c>
      <c r="U86" s="150">
        <f>SUM(U84:U85)</f>
        <v>0</v>
      </c>
      <c r="V86" s="153">
        <f>SUM(V84:V85)</f>
        <v>0.01</v>
      </c>
      <c r="W86" s="152">
        <f>V86-U86</f>
        <v>0.01</v>
      </c>
      <c r="X86" s="176"/>
      <c r="Y86" s="264" t="e">
        <f t="shared" si="17"/>
        <v>#DIV/0!</v>
      </c>
    </row>
    <row r="87" spans="2:25" ht="45.75">
      <c r="B87" s="25" t="s">
        <v>35</v>
      </c>
      <c r="C87" s="111">
        <v>21110000</v>
      </c>
      <c r="D87" s="356">
        <v>0</v>
      </c>
      <c r="E87" s="148">
        <v>0</v>
      </c>
      <c r="F87" s="148">
        <v>0</v>
      </c>
      <c r="G87" s="149">
        <v>0</v>
      </c>
      <c r="H87" s="150">
        <f aca="true" t="shared" si="34" ref="H87:H98">G87-F87</f>
        <v>0</v>
      </c>
      <c r="I87" s="284"/>
      <c r="J87" s="152">
        <f>G87-E87</f>
        <v>0</v>
      </c>
      <c r="K87" s="176"/>
      <c r="L87" s="152"/>
      <c r="M87" s="152"/>
      <c r="N87" s="152"/>
      <c r="O87" s="152">
        <v>35.57</v>
      </c>
      <c r="P87" s="152">
        <f aca="true" t="shared" si="35" ref="P87:P98">E87-O87</f>
        <v>-35.57</v>
      </c>
      <c r="Q87" s="176">
        <f aca="true" t="shared" si="36" ref="Q87:Q98">E87/O87</f>
        <v>0</v>
      </c>
      <c r="R87" s="152">
        <v>11.81</v>
      </c>
      <c r="S87" s="152">
        <f t="shared" si="32"/>
        <v>-11.81</v>
      </c>
      <c r="T87" s="172"/>
      <c r="U87" s="151">
        <f aca="true" t="shared" si="37" ref="U87:V91">F87</f>
        <v>0</v>
      </c>
      <c r="V87" s="222">
        <f t="shared" si="37"/>
        <v>0</v>
      </c>
      <c r="W87" s="152">
        <f aca="true" t="shared" si="38" ref="W87:W98">V87-U87</f>
        <v>0</v>
      </c>
      <c r="X87" s="176"/>
      <c r="Y87" s="264"/>
    </row>
    <row r="88" spans="2:25" ht="31.5">
      <c r="B88" s="22" t="s">
        <v>28</v>
      </c>
      <c r="C88" s="68">
        <v>31030000</v>
      </c>
      <c r="D88" s="357">
        <v>5000</v>
      </c>
      <c r="E88" s="146">
        <v>5000</v>
      </c>
      <c r="F88" s="146">
        <v>0</v>
      </c>
      <c r="G88" s="147">
        <v>806.43</v>
      </c>
      <c r="H88" s="133">
        <f t="shared" si="34"/>
        <v>806.43</v>
      </c>
      <c r="I88" s="281" t="e">
        <f>G88/F88</f>
        <v>#DIV/0!</v>
      </c>
      <c r="J88" s="138">
        <f>G88-E88</f>
        <v>-4193.57</v>
      </c>
      <c r="K88" s="172">
        <f>G88/E88</f>
        <v>0.16128599999999998</v>
      </c>
      <c r="L88" s="138"/>
      <c r="M88" s="138"/>
      <c r="N88" s="138"/>
      <c r="O88" s="138">
        <v>938.14</v>
      </c>
      <c r="P88" s="138">
        <f t="shared" si="35"/>
        <v>4061.86</v>
      </c>
      <c r="Q88" s="172">
        <f t="shared" si="36"/>
        <v>5.329694928262306</v>
      </c>
      <c r="R88" s="138">
        <v>0.04</v>
      </c>
      <c r="S88" s="138">
        <f t="shared" si="32"/>
        <v>806.39</v>
      </c>
      <c r="T88" s="172">
        <f t="shared" si="33"/>
        <v>20160.75</v>
      </c>
      <c r="U88" s="128">
        <f t="shared" si="37"/>
        <v>0</v>
      </c>
      <c r="V88" s="131">
        <f t="shared" si="37"/>
        <v>806.43</v>
      </c>
      <c r="W88" s="138">
        <f t="shared" si="38"/>
        <v>806.43</v>
      </c>
      <c r="X88" s="172" t="e">
        <f>V88/U88</f>
        <v>#DIV/0!</v>
      </c>
      <c r="Y88" s="264">
        <f t="shared" si="17"/>
        <v>20155.420305071737</v>
      </c>
    </row>
    <row r="89" spans="2:25" ht="18">
      <c r="B89" s="22" t="s">
        <v>29</v>
      </c>
      <c r="C89" s="68">
        <v>33010000</v>
      </c>
      <c r="D89" s="357">
        <v>16449</v>
      </c>
      <c r="E89" s="146">
        <v>16449</v>
      </c>
      <c r="F89" s="146">
        <v>0</v>
      </c>
      <c r="G89" s="147">
        <v>29.85</v>
      </c>
      <c r="H89" s="133">
        <f t="shared" si="34"/>
        <v>29.85</v>
      </c>
      <c r="I89" s="281" t="e">
        <f>G89/F89</f>
        <v>#DIV/0!</v>
      </c>
      <c r="J89" s="138">
        <f aca="true" t="shared" si="39" ref="J89:J98">G89-E89</f>
        <v>-16419.15</v>
      </c>
      <c r="K89" s="172">
        <f>G89/E89</f>
        <v>0.0018146999817618093</v>
      </c>
      <c r="L89" s="138"/>
      <c r="M89" s="138"/>
      <c r="N89" s="138"/>
      <c r="O89" s="138">
        <v>8143.65</v>
      </c>
      <c r="P89" s="138">
        <f t="shared" si="35"/>
        <v>8305.35</v>
      </c>
      <c r="Q89" s="172">
        <f t="shared" si="36"/>
        <v>2.0198559613932328</v>
      </c>
      <c r="R89" s="138">
        <v>1.9</v>
      </c>
      <c r="S89" s="138">
        <f t="shared" si="32"/>
        <v>27.950000000000003</v>
      </c>
      <c r="T89" s="172">
        <f t="shared" si="33"/>
        <v>15.710526315789474</v>
      </c>
      <c r="U89" s="128">
        <f t="shared" si="37"/>
        <v>0</v>
      </c>
      <c r="V89" s="131">
        <f t="shared" si="37"/>
        <v>29.85</v>
      </c>
      <c r="W89" s="138">
        <f t="shared" si="38"/>
        <v>29.85</v>
      </c>
      <c r="X89" s="172" t="e">
        <f>V89/U89</f>
        <v>#DIV/0!</v>
      </c>
      <c r="Y89" s="264">
        <f t="shared" si="17"/>
        <v>13.690670354396241</v>
      </c>
    </row>
    <row r="90" spans="2:25" ht="31.5">
      <c r="B90" s="22" t="s">
        <v>52</v>
      </c>
      <c r="C90" s="68">
        <v>24170000</v>
      </c>
      <c r="D90" s="357">
        <v>22000</v>
      </c>
      <c r="E90" s="146">
        <v>22000</v>
      </c>
      <c r="F90" s="146">
        <v>0</v>
      </c>
      <c r="G90" s="147">
        <v>157.01</v>
      </c>
      <c r="H90" s="133">
        <f t="shared" si="34"/>
        <v>157.01</v>
      </c>
      <c r="I90" s="281" t="e">
        <f>G90/F90</f>
        <v>#DIV/0!</v>
      </c>
      <c r="J90" s="138">
        <f t="shared" si="39"/>
        <v>-21842.99</v>
      </c>
      <c r="K90" s="172">
        <f>G90/E90</f>
        <v>0.007136818181818182</v>
      </c>
      <c r="L90" s="138"/>
      <c r="M90" s="138"/>
      <c r="N90" s="138"/>
      <c r="O90" s="138">
        <v>17305.88</v>
      </c>
      <c r="P90" s="138">
        <f t="shared" si="35"/>
        <v>4694.119999999999</v>
      </c>
      <c r="Q90" s="172">
        <f t="shared" si="36"/>
        <v>1.2712442245063527</v>
      </c>
      <c r="R90" s="138">
        <v>90.12</v>
      </c>
      <c r="S90" s="138">
        <f t="shared" si="32"/>
        <v>66.88999999999999</v>
      </c>
      <c r="T90" s="172">
        <f t="shared" si="33"/>
        <v>1.7422325787838435</v>
      </c>
      <c r="U90" s="128">
        <f t="shared" si="37"/>
        <v>0</v>
      </c>
      <c r="V90" s="131">
        <f t="shared" si="37"/>
        <v>157.01</v>
      </c>
      <c r="W90" s="138">
        <f t="shared" si="38"/>
        <v>157.01</v>
      </c>
      <c r="X90" s="172" t="e">
        <f>V90/U90</f>
        <v>#DIV/0!</v>
      </c>
      <c r="Y90" s="264">
        <f t="shared" si="17"/>
        <v>0.47098835427749086</v>
      </c>
    </row>
    <row r="91" spans="2:25" ht="18">
      <c r="B91" s="22" t="s">
        <v>96</v>
      </c>
      <c r="C91" s="68">
        <v>24110700</v>
      </c>
      <c r="D91" s="357">
        <v>24</v>
      </c>
      <c r="E91" s="146">
        <v>24</v>
      </c>
      <c r="F91" s="146">
        <v>0</v>
      </c>
      <c r="G91" s="147">
        <v>1</v>
      </c>
      <c r="H91" s="133">
        <f t="shared" si="34"/>
        <v>1</v>
      </c>
      <c r="I91" s="281" t="e">
        <f>G91/F91</f>
        <v>#DIV/0!</v>
      </c>
      <c r="J91" s="138">
        <f t="shared" si="39"/>
        <v>-23</v>
      </c>
      <c r="K91" s="172">
        <f>G91/E91</f>
        <v>0.041666666666666664</v>
      </c>
      <c r="L91" s="138"/>
      <c r="M91" s="138"/>
      <c r="N91" s="138"/>
      <c r="O91" s="138">
        <v>20</v>
      </c>
      <c r="P91" s="138">
        <f t="shared" si="35"/>
        <v>4</v>
      </c>
      <c r="Q91" s="172">
        <f t="shared" si="36"/>
        <v>1.2</v>
      </c>
      <c r="R91" s="138">
        <v>1</v>
      </c>
      <c r="S91" s="138">
        <f t="shared" si="32"/>
        <v>0</v>
      </c>
      <c r="T91" s="172">
        <f t="shared" si="33"/>
        <v>1</v>
      </c>
      <c r="U91" s="128">
        <f t="shared" si="37"/>
        <v>0</v>
      </c>
      <c r="V91" s="131">
        <f t="shared" si="37"/>
        <v>1</v>
      </c>
      <c r="W91" s="138">
        <f t="shared" si="38"/>
        <v>1</v>
      </c>
      <c r="X91" s="172" t="e">
        <f>V91/U91</f>
        <v>#DIV/0!</v>
      </c>
      <c r="Y91" s="264">
        <f t="shared" si="17"/>
        <v>-0.19999999999999996</v>
      </c>
    </row>
    <row r="92" spans="2:25" ht="33">
      <c r="B92" s="25" t="s">
        <v>49</v>
      </c>
      <c r="C92" s="60"/>
      <c r="D92" s="148">
        <f>D88+D89+D90+D91</f>
        <v>43473</v>
      </c>
      <c r="E92" s="148">
        <f>E88+E89+E90+E91</f>
        <v>43473</v>
      </c>
      <c r="F92" s="148">
        <f>F88+F89+F90+F91</f>
        <v>0</v>
      </c>
      <c r="G92" s="149">
        <f>G88+G89+G90+G91</f>
        <v>994.29</v>
      </c>
      <c r="H92" s="150">
        <f t="shared" si="34"/>
        <v>994.29</v>
      </c>
      <c r="I92" s="284" t="e">
        <f>G92/F92</f>
        <v>#DIV/0!</v>
      </c>
      <c r="J92" s="152">
        <f t="shared" si="39"/>
        <v>-42478.71</v>
      </c>
      <c r="K92" s="176">
        <f>G92/E92</f>
        <v>0.022871437443930717</v>
      </c>
      <c r="L92" s="152"/>
      <c r="M92" s="152"/>
      <c r="N92" s="152"/>
      <c r="O92" s="152">
        <v>26407.66</v>
      </c>
      <c r="P92" s="152">
        <f t="shared" si="35"/>
        <v>17065.34</v>
      </c>
      <c r="Q92" s="176">
        <f t="shared" si="36"/>
        <v>1.6462268902280626</v>
      </c>
      <c r="R92" s="152">
        <v>93.06</v>
      </c>
      <c r="S92" s="138">
        <f t="shared" si="32"/>
        <v>901.23</v>
      </c>
      <c r="T92" s="172">
        <f t="shared" si="33"/>
        <v>10.684397163120567</v>
      </c>
      <c r="U92" s="150">
        <f>U88+U89+U90+U91</f>
        <v>0</v>
      </c>
      <c r="V92" s="154">
        <f>V88+V89+V90+V91</f>
        <v>994.29</v>
      </c>
      <c r="W92" s="152">
        <f t="shared" si="38"/>
        <v>994.29</v>
      </c>
      <c r="X92" s="176" t="e">
        <f>V92/U92</f>
        <v>#DIV/0!</v>
      </c>
      <c r="Y92" s="264">
        <f t="shared" si="17"/>
        <v>9.038170272892504</v>
      </c>
    </row>
    <row r="93" spans="2:25" ht="46.5">
      <c r="B93" s="12" t="s">
        <v>38</v>
      </c>
      <c r="C93" s="70">
        <v>24062100</v>
      </c>
      <c r="D93" s="358">
        <v>43</v>
      </c>
      <c r="E93" s="146">
        <v>43</v>
      </c>
      <c r="F93" s="146">
        <v>0</v>
      </c>
      <c r="G93" s="147">
        <v>0.01</v>
      </c>
      <c r="H93" s="133">
        <f t="shared" si="34"/>
        <v>0.01</v>
      </c>
      <c r="I93" s="281"/>
      <c r="J93" s="138">
        <f t="shared" si="39"/>
        <v>-42.99</v>
      </c>
      <c r="K93" s="172"/>
      <c r="L93" s="138"/>
      <c r="M93" s="138"/>
      <c r="N93" s="138"/>
      <c r="O93" s="138">
        <v>49.17</v>
      </c>
      <c r="P93" s="138">
        <f t="shared" si="35"/>
        <v>-6.170000000000002</v>
      </c>
      <c r="Q93" s="172">
        <f t="shared" si="36"/>
        <v>0.8745169818995322</v>
      </c>
      <c r="R93" s="138">
        <v>0</v>
      </c>
      <c r="S93" s="138">
        <f t="shared" si="32"/>
        <v>0.01</v>
      </c>
      <c r="T93" s="172" t="e">
        <f t="shared" si="33"/>
        <v>#DIV/0!</v>
      </c>
      <c r="U93" s="128">
        <f aca="true" t="shared" si="40" ref="U93:V96">F93</f>
        <v>0</v>
      </c>
      <c r="V93" s="131">
        <f t="shared" si="40"/>
        <v>0.01</v>
      </c>
      <c r="W93" s="138">
        <f t="shared" si="38"/>
        <v>0.01</v>
      </c>
      <c r="X93" s="172"/>
      <c r="Y93" s="264" t="e">
        <f t="shared" si="17"/>
        <v>#DIV/0!</v>
      </c>
    </row>
    <row r="94" spans="2:25" ht="18" hidden="1">
      <c r="B94" s="193" t="s">
        <v>50</v>
      </c>
      <c r="C94" s="68">
        <v>24061600</v>
      </c>
      <c r="D94" s="357"/>
      <c r="E94" s="146">
        <v>0</v>
      </c>
      <c r="F94" s="146">
        <f>E94</f>
        <v>0</v>
      </c>
      <c r="G94" s="147">
        <v>0</v>
      </c>
      <c r="H94" s="133">
        <f t="shared" si="34"/>
        <v>0</v>
      </c>
      <c r="I94" s="281"/>
      <c r="J94" s="138">
        <f t="shared" si="39"/>
        <v>0</v>
      </c>
      <c r="K94" s="292"/>
      <c r="L94" s="155"/>
      <c r="M94" s="155"/>
      <c r="N94" s="155"/>
      <c r="O94" s="155"/>
      <c r="P94" s="138">
        <f t="shared" si="35"/>
        <v>0</v>
      </c>
      <c r="Q94" s="172" t="e">
        <f t="shared" si="36"/>
        <v>#DIV/0!</v>
      </c>
      <c r="R94" s="138">
        <f>O94</f>
        <v>0</v>
      </c>
      <c r="S94" s="138">
        <f t="shared" si="32"/>
        <v>0</v>
      </c>
      <c r="T94" s="172" t="e">
        <f t="shared" si="33"/>
        <v>#DIV/0!</v>
      </c>
      <c r="U94" s="128">
        <f t="shared" si="40"/>
        <v>0</v>
      </c>
      <c r="V94" s="131">
        <f t="shared" si="40"/>
        <v>0</v>
      </c>
      <c r="W94" s="138">
        <f t="shared" si="38"/>
        <v>0</v>
      </c>
      <c r="X94" s="292"/>
      <c r="Y94" s="264" t="e">
        <f t="shared" si="17"/>
        <v>#DIV/0!</v>
      </c>
    </row>
    <row r="95" spans="2:25" ht="18">
      <c r="B95" s="22" t="s">
        <v>44</v>
      </c>
      <c r="C95" s="68">
        <v>19010000</v>
      </c>
      <c r="D95" s="357">
        <v>9050</v>
      </c>
      <c r="E95" s="146">
        <v>9050</v>
      </c>
      <c r="F95" s="146">
        <v>1518.17</v>
      </c>
      <c r="G95" s="147">
        <v>465.06</v>
      </c>
      <c r="H95" s="133">
        <f t="shared" si="34"/>
        <v>-1053.1100000000001</v>
      </c>
      <c r="I95" s="281">
        <f>G95/F95</f>
        <v>0.3063293307073648</v>
      </c>
      <c r="J95" s="138">
        <f t="shared" si="39"/>
        <v>-8584.94</v>
      </c>
      <c r="K95" s="172">
        <f>G95/E95</f>
        <v>0.051387845303867405</v>
      </c>
      <c r="L95" s="138"/>
      <c r="M95" s="138"/>
      <c r="N95" s="138"/>
      <c r="O95" s="138">
        <v>8033.94</v>
      </c>
      <c r="P95" s="138">
        <f t="shared" si="35"/>
        <v>1016.0600000000004</v>
      </c>
      <c r="Q95" s="172">
        <f t="shared" si="36"/>
        <v>1.1264709470073215</v>
      </c>
      <c r="R95" s="138">
        <v>11.48</v>
      </c>
      <c r="S95" s="138">
        <f t="shared" si="32"/>
        <v>453.58</v>
      </c>
      <c r="T95" s="172">
        <f t="shared" si="33"/>
        <v>40.51045296167247</v>
      </c>
      <c r="U95" s="128">
        <f t="shared" si="40"/>
        <v>1518.17</v>
      </c>
      <c r="V95" s="131">
        <f t="shared" si="40"/>
        <v>465.06</v>
      </c>
      <c r="W95" s="138">
        <f t="shared" si="38"/>
        <v>-1053.1100000000001</v>
      </c>
      <c r="X95" s="172">
        <f>V95/U95</f>
        <v>0.3063293307073648</v>
      </c>
      <c r="Y95" s="264">
        <f t="shared" si="17"/>
        <v>39.38398201466515</v>
      </c>
    </row>
    <row r="96" spans="2:25" ht="31.5">
      <c r="B96" s="22" t="s">
        <v>48</v>
      </c>
      <c r="C96" s="68">
        <v>19050000</v>
      </c>
      <c r="D96" s="357"/>
      <c r="E96" s="146">
        <v>0</v>
      </c>
      <c r="F96" s="146">
        <v>0</v>
      </c>
      <c r="G96" s="147">
        <v>0</v>
      </c>
      <c r="H96" s="133">
        <f t="shared" si="34"/>
        <v>0</v>
      </c>
      <c r="I96" s="281"/>
      <c r="J96" s="138">
        <f t="shared" si="39"/>
        <v>0</v>
      </c>
      <c r="K96" s="172"/>
      <c r="L96" s="138"/>
      <c r="M96" s="138"/>
      <c r="N96" s="138"/>
      <c r="O96" s="138">
        <v>0.1</v>
      </c>
      <c r="P96" s="138">
        <f t="shared" si="35"/>
        <v>-0.1</v>
      </c>
      <c r="Q96" s="172">
        <f t="shared" si="36"/>
        <v>0</v>
      </c>
      <c r="R96" s="138">
        <v>0</v>
      </c>
      <c r="S96" s="138">
        <f t="shared" si="32"/>
        <v>0</v>
      </c>
      <c r="T96" s="172" t="e">
        <f t="shared" si="33"/>
        <v>#DIV/0!</v>
      </c>
      <c r="U96" s="128">
        <f t="shared" si="40"/>
        <v>0</v>
      </c>
      <c r="V96" s="131">
        <f t="shared" si="40"/>
        <v>0</v>
      </c>
      <c r="W96" s="138">
        <f t="shared" si="38"/>
        <v>0</v>
      </c>
      <c r="X96" s="292"/>
      <c r="Y96" s="264" t="e">
        <f t="shared" si="17"/>
        <v>#DIV/0!</v>
      </c>
    </row>
    <row r="97" spans="2:25" ht="30.75">
      <c r="B97" s="25" t="s">
        <v>45</v>
      </c>
      <c r="C97" s="68"/>
      <c r="D97" s="148">
        <f>D93+D96+D94+D95</f>
        <v>9093</v>
      </c>
      <c r="E97" s="148">
        <f>E93+E96+E94+E95</f>
        <v>9093</v>
      </c>
      <c r="F97" s="148">
        <f>F93+F96+F94+F95</f>
        <v>1518.17</v>
      </c>
      <c r="G97" s="149">
        <f>G93+G96+G94+G95</f>
        <v>465.07</v>
      </c>
      <c r="H97" s="150">
        <f t="shared" si="34"/>
        <v>-1053.1000000000001</v>
      </c>
      <c r="I97" s="284">
        <f>G97/F97</f>
        <v>0.3063359175849872</v>
      </c>
      <c r="J97" s="152">
        <f t="shared" si="39"/>
        <v>-8627.93</v>
      </c>
      <c r="K97" s="176">
        <f>G97/E97</f>
        <v>0.05114593643462004</v>
      </c>
      <c r="L97" s="152"/>
      <c r="M97" s="152"/>
      <c r="N97" s="152"/>
      <c r="O97" s="152">
        <v>8083.21</v>
      </c>
      <c r="P97" s="152">
        <f t="shared" si="35"/>
        <v>1009.79</v>
      </c>
      <c r="Q97" s="176">
        <f t="shared" si="36"/>
        <v>1.1249243802895137</v>
      </c>
      <c r="R97" s="152">
        <v>11.82</v>
      </c>
      <c r="S97" s="138">
        <f t="shared" si="32"/>
        <v>453.25</v>
      </c>
      <c r="T97" s="172">
        <f t="shared" si="33"/>
        <v>39.34602368866328</v>
      </c>
      <c r="U97" s="150">
        <f>U93+U96+U94+U95</f>
        <v>1518.17</v>
      </c>
      <c r="V97" s="154">
        <f>V93+V96+V94+V95</f>
        <v>465.07</v>
      </c>
      <c r="W97" s="152">
        <f t="shared" si="38"/>
        <v>-1053.1000000000001</v>
      </c>
      <c r="X97" s="176">
        <f>V97/U97</f>
        <v>0.3063359175849872</v>
      </c>
      <c r="Y97" s="264">
        <f t="shared" si="17"/>
        <v>38.221099308373766</v>
      </c>
    </row>
    <row r="98" spans="2:25" ht="30.75">
      <c r="B98" s="12" t="s">
        <v>39</v>
      </c>
      <c r="C98" s="38">
        <v>24110900</v>
      </c>
      <c r="D98" s="342">
        <v>19.413</v>
      </c>
      <c r="E98" s="146">
        <v>19.413</v>
      </c>
      <c r="F98" s="146">
        <v>0</v>
      </c>
      <c r="G98" s="147">
        <v>1.7</v>
      </c>
      <c r="H98" s="133">
        <f t="shared" si="34"/>
        <v>1.7</v>
      </c>
      <c r="I98" s="281" t="e">
        <f>G98/F98</f>
        <v>#DIV/0!</v>
      </c>
      <c r="J98" s="138">
        <f t="shared" si="39"/>
        <v>-17.713</v>
      </c>
      <c r="K98" s="172">
        <f>G98/E98</f>
        <v>0.08757018492762582</v>
      </c>
      <c r="L98" s="138"/>
      <c r="M98" s="138"/>
      <c r="N98" s="138"/>
      <c r="O98" s="138">
        <v>37.96</v>
      </c>
      <c r="P98" s="138">
        <f t="shared" si="35"/>
        <v>-18.547</v>
      </c>
      <c r="Q98" s="172">
        <f t="shared" si="36"/>
        <v>0.5114067439409905</v>
      </c>
      <c r="R98" s="152">
        <v>0.34</v>
      </c>
      <c r="S98" s="138">
        <f t="shared" si="32"/>
        <v>1.3599999999999999</v>
      </c>
      <c r="T98" s="172">
        <f t="shared" si="33"/>
        <v>4.999999999999999</v>
      </c>
      <c r="U98" s="128">
        <f>F98</f>
        <v>0</v>
      </c>
      <c r="V98" s="131">
        <f>G98</f>
        <v>1.7</v>
      </c>
      <c r="W98" s="138">
        <f t="shared" si="38"/>
        <v>1.7</v>
      </c>
      <c r="X98" s="172" t="e">
        <f>V98/U98</f>
        <v>#DIV/0!</v>
      </c>
      <c r="Y98" s="264">
        <f t="shared" si="17"/>
        <v>4.4885932560590085</v>
      </c>
    </row>
    <row r="99" spans="2:25" ht="18" hidden="1">
      <c r="B99" s="100"/>
      <c r="C99" s="38">
        <v>21110000</v>
      </c>
      <c r="D99" s="342"/>
      <c r="E99" s="146">
        <v>0</v>
      </c>
      <c r="F99" s="146">
        <v>0</v>
      </c>
      <c r="G99" s="147"/>
      <c r="H99" s="133" t="e">
        <f>#N/A</f>
        <v>#N/A</v>
      </c>
      <c r="I99" s="281"/>
      <c r="J99" s="138" t="e">
        <f>#N/A</f>
        <v>#N/A</v>
      </c>
      <c r="K99" s="172"/>
      <c r="L99" s="138"/>
      <c r="M99" s="138"/>
      <c r="N99" s="138"/>
      <c r="O99" s="138"/>
      <c r="P99" s="138"/>
      <c r="Q99" s="172"/>
      <c r="R99" s="138">
        <v>18.76</v>
      </c>
      <c r="S99" s="152" t="e">
        <f>#N/A</f>
        <v>#N/A</v>
      </c>
      <c r="T99" s="172">
        <f t="shared" si="33"/>
        <v>0</v>
      </c>
      <c r="U99" s="135" t="e">
        <f>F99-#REF!</f>
        <v>#REF!</v>
      </c>
      <c r="V99" s="139" t="e">
        <f>G99-#REF!</f>
        <v>#REF!</v>
      </c>
      <c r="W99" s="138" t="e">
        <f>#N/A</f>
        <v>#N/A</v>
      </c>
      <c r="X99" s="172"/>
      <c r="Y99" s="264">
        <f t="shared" si="17"/>
        <v>0</v>
      </c>
    </row>
    <row r="100" spans="2:25" ht="23.25" customHeight="1">
      <c r="B100" s="231" t="s">
        <v>30</v>
      </c>
      <c r="C100" s="232"/>
      <c r="D100" s="233">
        <f>D86+D87+D92+D97+D98</f>
        <v>52585.413</v>
      </c>
      <c r="E100" s="233">
        <f>E86+E87+E92+E97+E98</f>
        <v>52585.413</v>
      </c>
      <c r="F100" s="233">
        <f>F86+F87+F92+F97+F98</f>
        <v>1518.17</v>
      </c>
      <c r="G100" s="233">
        <f>G86+G87+G92+G97+G98</f>
        <v>1461.07</v>
      </c>
      <c r="H100" s="234">
        <f>G100-F100</f>
        <v>-57.100000000000136</v>
      </c>
      <c r="I100" s="285">
        <f>G100/F100</f>
        <v>0.9623889287760922</v>
      </c>
      <c r="J100" s="227">
        <f>G100-E100</f>
        <v>-51124.343</v>
      </c>
      <c r="K100" s="228">
        <f>G100/E100</f>
        <v>0.027784701434217126</v>
      </c>
      <c r="L100" s="227"/>
      <c r="M100" s="227"/>
      <c r="N100" s="227"/>
      <c r="O100" s="227">
        <v>34561.77</v>
      </c>
      <c r="P100" s="227">
        <f>E100-O100</f>
        <v>18023.643000000004</v>
      </c>
      <c r="Q100" s="228">
        <f>E100/O100</f>
        <v>1.5214907396235784</v>
      </c>
      <c r="R100" s="233">
        <v>117.03</v>
      </c>
      <c r="S100" s="227">
        <f>G100-R100</f>
        <v>1344.04</v>
      </c>
      <c r="T100" s="228">
        <f t="shared" si="33"/>
        <v>12.484576604289497</v>
      </c>
      <c r="U100" s="233">
        <f>U86+U87+U92+U97+U98</f>
        <v>1518.17</v>
      </c>
      <c r="V100" s="233">
        <f>V86+V87+V92+V97+V98</f>
        <v>1461.07</v>
      </c>
      <c r="W100" s="227">
        <f>V100-U100</f>
        <v>-57.100000000000136</v>
      </c>
      <c r="X100" s="228">
        <f>V100/U100</f>
        <v>0.9623889287760922</v>
      </c>
      <c r="Y100" s="264">
        <f>T100-Q100</f>
        <v>10.963085864665919</v>
      </c>
    </row>
    <row r="101" spans="2:25" ht="17.25">
      <c r="B101" s="235" t="s">
        <v>122</v>
      </c>
      <c r="C101" s="232"/>
      <c r="D101" s="367">
        <f>D79+D100</f>
        <v>1680503.113</v>
      </c>
      <c r="E101" s="233">
        <f>E79+E100</f>
        <v>1680503.113</v>
      </c>
      <c r="F101" s="233">
        <f>F79+F100</f>
        <v>238394.38000000003</v>
      </c>
      <c r="G101" s="233">
        <f>G79+G100</f>
        <v>133390.61</v>
      </c>
      <c r="H101" s="234">
        <f>G101-F101</f>
        <v>-105003.77000000005</v>
      </c>
      <c r="I101" s="285">
        <f>G101/F101</f>
        <v>0.5595375612462004</v>
      </c>
      <c r="J101" s="227">
        <f>G101-E101</f>
        <v>-1547112.503</v>
      </c>
      <c r="K101" s="228">
        <f>G101/E101</f>
        <v>0.0793754019067979</v>
      </c>
      <c r="L101" s="227"/>
      <c r="M101" s="227"/>
      <c r="N101" s="227"/>
      <c r="O101" s="227">
        <f>O79+O100</f>
        <v>1433558.23</v>
      </c>
      <c r="P101" s="227">
        <f>E101-O101</f>
        <v>246944.8829999999</v>
      </c>
      <c r="Q101" s="228">
        <f>E101/O101</f>
        <v>1.1722600992636343</v>
      </c>
      <c r="R101" s="227">
        <f>R79+R100</f>
        <v>203643.4</v>
      </c>
      <c r="S101" s="227">
        <f>S79+S100</f>
        <v>-70252.79000000002</v>
      </c>
      <c r="T101" s="228">
        <f t="shared" si="33"/>
        <v>0.6550205408080988</v>
      </c>
      <c r="U101" s="234">
        <f>U79+U100</f>
        <v>238394.38000000003</v>
      </c>
      <c r="V101" s="234">
        <f>V79+V100</f>
        <v>133390.61</v>
      </c>
      <c r="W101" s="227">
        <f>V101-U101</f>
        <v>-105003.77000000005</v>
      </c>
      <c r="X101" s="228">
        <f>V101/U101</f>
        <v>0.5595375612462004</v>
      </c>
      <c r="Y101" s="264">
        <f>T101-Q101</f>
        <v>-0.5172395584555355</v>
      </c>
    </row>
    <row r="102" spans="2:25" ht="15">
      <c r="B102" s="19" t="s">
        <v>32</v>
      </c>
      <c r="V102" s="24"/>
      <c r="Y102" s="264"/>
    </row>
    <row r="103" spans="2:25" ht="15">
      <c r="B103" s="4" t="s">
        <v>34</v>
      </c>
      <c r="C103" s="71">
        <v>16</v>
      </c>
      <c r="D103" s="71"/>
      <c r="E103" s="4" t="s">
        <v>33</v>
      </c>
      <c r="V103" s="73"/>
      <c r="Y103" s="264"/>
    </row>
    <row r="104" spans="2:25" ht="30.75">
      <c r="B104" s="47" t="s">
        <v>51</v>
      </c>
      <c r="C104" s="26">
        <f>IF(W79&lt;0,ABS(W79/C103),0)</f>
        <v>6559.166875000003</v>
      </c>
      <c r="D104" s="26"/>
      <c r="E104" s="4" t="s">
        <v>24</v>
      </c>
      <c r="H104" s="387"/>
      <c r="I104" s="387"/>
      <c r="J104" s="387"/>
      <c r="K104" s="387"/>
      <c r="L104" s="79"/>
      <c r="M104" s="79"/>
      <c r="N104" s="79"/>
      <c r="O104" s="79"/>
      <c r="P104" s="79"/>
      <c r="Q104" s="244"/>
      <c r="R104" s="79"/>
      <c r="S104" s="79"/>
      <c r="T104" s="79"/>
      <c r="X104" s="24"/>
      <c r="Y104" s="264"/>
    </row>
    <row r="105" spans="2:25" ht="34.5" customHeight="1">
      <c r="B105" s="48" t="s">
        <v>53</v>
      </c>
      <c r="C105" s="76">
        <v>43137</v>
      </c>
      <c r="D105" s="76"/>
      <c r="E105" s="26">
        <v>5413.7</v>
      </c>
      <c r="H105" s="4" t="s">
        <v>56</v>
      </c>
      <c r="V105" s="375"/>
      <c r="W105" s="375"/>
      <c r="Y105" s="264"/>
    </row>
    <row r="106" spans="3:25" ht="15">
      <c r="C106" s="76">
        <v>43136</v>
      </c>
      <c r="D106" s="76"/>
      <c r="E106" s="26">
        <v>5296</v>
      </c>
      <c r="H106" s="371"/>
      <c r="I106" s="371"/>
      <c r="J106" s="96"/>
      <c r="K106" s="224"/>
      <c r="L106" s="224"/>
      <c r="M106" s="224"/>
      <c r="N106" s="224"/>
      <c r="O106" s="224"/>
      <c r="P106" s="224"/>
      <c r="Q106" s="245"/>
      <c r="R106" s="224"/>
      <c r="S106" s="224"/>
      <c r="T106" s="224"/>
      <c r="U106" s="224"/>
      <c r="V106" s="375"/>
      <c r="W106" s="375"/>
      <c r="Y106" s="264"/>
    </row>
    <row r="107" spans="3:25" ht="15.75" customHeight="1">
      <c r="C107" s="76">
        <v>43133</v>
      </c>
      <c r="D107" s="76"/>
      <c r="E107" s="26">
        <v>2782.5</v>
      </c>
      <c r="H107" s="371"/>
      <c r="I107" s="371"/>
      <c r="J107" s="96"/>
      <c r="K107" s="225"/>
      <c r="L107" s="225"/>
      <c r="M107" s="225"/>
      <c r="N107" s="225"/>
      <c r="O107" s="225"/>
      <c r="P107" s="225"/>
      <c r="Q107" s="246"/>
      <c r="R107" s="225"/>
      <c r="S107" s="225"/>
      <c r="T107" s="225"/>
      <c r="U107" s="225"/>
      <c r="V107" s="375"/>
      <c r="W107" s="375"/>
      <c r="Y107" s="264"/>
    </row>
    <row r="108" spans="3:25" ht="15.75" customHeight="1">
      <c r="C108" s="76"/>
      <c r="D108" s="76"/>
      <c r="G108" s="63"/>
      <c r="H108" s="376"/>
      <c r="I108" s="376"/>
      <c r="J108" s="102"/>
      <c r="K108" s="224"/>
      <c r="L108" s="224"/>
      <c r="M108" s="224"/>
      <c r="N108" s="224"/>
      <c r="O108" s="224"/>
      <c r="P108" s="224"/>
      <c r="Q108" s="245"/>
      <c r="R108" s="224"/>
      <c r="S108" s="224"/>
      <c r="T108" s="224"/>
      <c r="U108" s="224"/>
      <c r="Y108" s="264"/>
    </row>
    <row r="109" spans="2:25" ht="18" customHeight="1">
      <c r="B109" s="369" t="s">
        <v>54</v>
      </c>
      <c r="C109" s="370"/>
      <c r="D109" s="338"/>
      <c r="E109" s="110">
        <v>1.88</v>
      </c>
      <c r="F109" s="64"/>
      <c r="G109" s="103" t="s">
        <v>99</v>
      </c>
      <c r="H109" s="371"/>
      <c r="I109" s="371"/>
      <c r="J109" s="104"/>
      <c r="K109" s="224"/>
      <c r="L109" s="224"/>
      <c r="M109" s="224"/>
      <c r="N109" s="224"/>
      <c r="O109" s="224"/>
      <c r="P109" s="224"/>
      <c r="Q109" s="245"/>
      <c r="R109" s="224"/>
      <c r="S109" s="224"/>
      <c r="T109" s="224"/>
      <c r="U109" s="224"/>
      <c r="Y109" s="264"/>
    </row>
    <row r="110" spans="7:25" ht="9.75" customHeight="1">
      <c r="G110" s="63"/>
      <c r="H110" s="371"/>
      <c r="I110" s="371"/>
      <c r="J110" s="63"/>
      <c r="K110" s="64"/>
      <c r="L110" s="64"/>
      <c r="M110" s="64"/>
      <c r="N110" s="64"/>
      <c r="O110" s="64"/>
      <c r="P110" s="64"/>
      <c r="Q110" s="247"/>
      <c r="R110" s="64"/>
      <c r="S110" s="64"/>
      <c r="T110" s="64"/>
      <c r="Y110" s="264"/>
    </row>
    <row r="111" spans="2:25" ht="22.5" customHeight="1" hidden="1">
      <c r="B111" s="372" t="s">
        <v>57</v>
      </c>
      <c r="C111" s="373"/>
      <c r="D111" s="339"/>
      <c r="E111" s="75">
        <v>0</v>
      </c>
      <c r="F111" s="46" t="s">
        <v>24</v>
      </c>
      <c r="G111" s="63"/>
      <c r="H111" s="371"/>
      <c r="I111" s="371"/>
      <c r="J111" s="63"/>
      <c r="K111" s="64"/>
      <c r="L111" s="64"/>
      <c r="M111" s="64"/>
      <c r="N111" s="64"/>
      <c r="O111" s="64"/>
      <c r="P111" s="64"/>
      <c r="Q111" s="247"/>
      <c r="R111" s="304"/>
      <c r="S111" s="304"/>
      <c r="T111" s="304"/>
      <c r="U111" s="3"/>
      <c r="V111" s="3"/>
      <c r="W111" s="3"/>
      <c r="X111" s="3"/>
      <c r="Y111" s="264"/>
    </row>
    <row r="112" spans="2:25" ht="15" hidden="1">
      <c r="B112" s="220" t="s">
        <v>125</v>
      </c>
      <c r="E112" s="63">
        <f>E60+E63+E64</f>
        <v>2095</v>
      </c>
      <c r="F112" s="63">
        <f>F60+F63+F64</f>
        <v>347</v>
      </c>
      <c r="G112" s="166">
        <f>G60+G63+G64</f>
        <v>183.48000000000002</v>
      </c>
      <c r="H112" s="63">
        <f>H60+H63+H64</f>
        <v>-163.51999999999998</v>
      </c>
      <c r="I112" s="64"/>
      <c r="J112" s="64"/>
      <c r="R112" s="3"/>
      <c r="S112" s="3"/>
      <c r="T112" s="3"/>
      <c r="U112" s="94"/>
      <c r="V112" s="94"/>
      <c r="W112" s="94"/>
      <c r="X112" s="3"/>
      <c r="Y112" s="264"/>
    </row>
    <row r="113" spans="5:25" ht="15" hidden="1">
      <c r="E113" s="73"/>
      <c r="J113" s="26"/>
      <c r="R113" s="3"/>
      <c r="S113" s="3"/>
      <c r="T113" s="3"/>
      <c r="U113" s="3"/>
      <c r="V113" s="374"/>
      <c r="W113" s="374"/>
      <c r="X113" s="3"/>
      <c r="Y113" s="264"/>
    </row>
    <row r="114" spans="2:25" ht="15" hidden="1">
      <c r="B114" s="4" t="s">
        <v>109</v>
      </c>
      <c r="E114" s="26">
        <f>E9+E15+E18+E19+E23+E54+E57+E77+E71</f>
        <v>1583334.8</v>
      </c>
      <c r="F114" s="26">
        <f>F9+F15+F18+F19+F23+F54+F57+F77+F71</f>
        <v>229563.01</v>
      </c>
      <c r="G114" s="189">
        <f>G9+G15+G18+G19+G23+G54+G57+G77+G71</f>
        <v>127310.36</v>
      </c>
      <c r="H114" s="26">
        <f>G114-F114</f>
        <v>-102252.65000000001</v>
      </c>
      <c r="I114" s="190">
        <f>G114/F114</f>
        <v>0.5545769764911167</v>
      </c>
      <c r="J114" s="26">
        <f>G114-E114</f>
        <v>-1456024.44</v>
      </c>
      <c r="K114" s="190">
        <f>G114/E114</f>
        <v>0.08040646867611323</v>
      </c>
      <c r="L114" s="190"/>
      <c r="M114" s="190"/>
      <c r="N114" s="190"/>
      <c r="O114" s="190"/>
      <c r="P114" s="190"/>
      <c r="R114" s="3"/>
      <c r="S114" s="3"/>
      <c r="T114" s="3"/>
      <c r="U114" s="94"/>
      <c r="V114" s="94"/>
      <c r="W114" s="94"/>
      <c r="X114" s="335"/>
      <c r="Y114" s="264"/>
    </row>
    <row r="115" spans="2:25" ht="15" hidden="1">
      <c r="B115" s="4" t="s">
        <v>110</v>
      </c>
      <c r="E115" s="26">
        <f>E55+E56+E58+E60+E62+E63+E64+E65+E66+E72+E76+E59+E78</f>
        <v>44582.9</v>
      </c>
      <c r="F115" s="26">
        <f>F55+F56+F58+F60+F62+F63+F64+F65+F66+F72+F76+F59+F78</f>
        <v>7313.2</v>
      </c>
      <c r="G115" s="189">
        <f>G55+G56+G58+G60+G62+G63+G64+G65+G66+G72+G76+G59+G78</f>
        <v>4619.18</v>
      </c>
      <c r="H115" s="26">
        <f>H55+H56+H58+H60+H62+H63+H64+H65+H66+H72+H76+H59</f>
        <v>-2694.0199999999995</v>
      </c>
      <c r="I115" s="190">
        <f>G115/F115</f>
        <v>0.6316222720560084</v>
      </c>
      <c r="J115" s="26">
        <f>J55+J56+J58+J60+J62+J63+J64+J65+J66+J72+J76+J59</f>
        <v>-39963.72</v>
      </c>
      <c r="K115" s="190">
        <f>G115/E115</f>
        <v>0.10360878273957055</v>
      </c>
      <c r="L115" s="190"/>
      <c r="M115" s="190"/>
      <c r="N115" s="190"/>
      <c r="O115" s="190"/>
      <c r="P115" s="190"/>
      <c r="R115" s="94"/>
      <c r="S115" s="94"/>
      <c r="T115" s="94"/>
      <c r="U115" s="94"/>
      <c r="V115" s="94"/>
      <c r="W115" s="94"/>
      <c r="X115" s="335"/>
      <c r="Y115" s="264"/>
    </row>
    <row r="116" spans="2:25" ht="15" hidden="1">
      <c r="B116" s="4" t="s">
        <v>111</v>
      </c>
      <c r="E116" s="26">
        <f>SUM(E114:E115)</f>
        <v>1627917.7</v>
      </c>
      <c r="F116" s="26">
        <f>SUM(F114:F115)</f>
        <v>236876.21000000002</v>
      </c>
      <c r="G116" s="26">
        <f>SUM(G114:G115)</f>
        <v>131929.54</v>
      </c>
      <c r="H116" s="26">
        <f>SUM(H114:H115)</f>
        <v>-104946.67000000001</v>
      </c>
      <c r="I116" s="190">
        <f>G116/F116</f>
        <v>0.5569556351817686</v>
      </c>
      <c r="J116" s="26">
        <f>SUM(J114:J115)</f>
        <v>-1495988.16</v>
      </c>
      <c r="K116" s="190">
        <f>G116/E116</f>
        <v>0.08104189787972697</v>
      </c>
      <c r="L116" s="190"/>
      <c r="M116" s="190"/>
      <c r="N116" s="190"/>
      <c r="O116" s="190"/>
      <c r="P116" s="190"/>
      <c r="R116" s="94"/>
      <c r="S116" s="94"/>
      <c r="T116" s="94"/>
      <c r="U116" s="94"/>
      <c r="V116" s="94"/>
      <c r="W116" s="94"/>
      <c r="X116" s="335"/>
      <c r="Y116" s="264"/>
    </row>
    <row r="117" spans="5:25" ht="15" hidden="1">
      <c r="E117" s="26">
        <f>E79-E116</f>
        <v>0</v>
      </c>
      <c r="F117" s="26" t="e">
        <f>#N/A</f>
        <v>#N/A</v>
      </c>
      <c r="G117" s="26" t="e">
        <f>#N/A</f>
        <v>#N/A</v>
      </c>
      <c r="H117" s="26" t="e">
        <f>#N/A</f>
        <v>#N/A</v>
      </c>
      <c r="I117" s="190"/>
      <c r="J117" s="26" t="e">
        <f>#N/A</f>
        <v>#N/A</v>
      </c>
      <c r="K117" s="190"/>
      <c r="L117" s="190"/>
      <c r="M117" s="190"/>
      <c r="N117" s="190"/>
      <c r="O117" s="190"/>
      <c r="P117" s="190"/>
      <c r="R117" s="94"/>
      <c r="S117" s="94"/>
      <c r="T117" s="94"/>
      <c r="U117" s="94"/>
      <c r="V117" s="94"/>
      <c r="W117" s="94"/>
      <c r="X117" s="94"/>
      <c r="Y117" s="264"/>
    </row>
    <row r="118" spans="6:25" ht="15" hidden="1">
      <c r="F118" s="4" t="s">
        <v>56</v>
      </c>
      <c r="R118" s="3"/>
      <c r="S118" s="3"/>
      <c r="T118" s="3"/>
      <c r="U118" s="3"/>
      <c r="V118" s="3"/>
      <c r="W118" s="3"/>
      <c r="X118" s="3"/>
      <c r="Y118" s="264"/>
    </row>
    <row r="119" spans="2:25" ht="15" hidden="1">
      <c r="B119" s="202" t="s">
        <v>116</v>
      </c>
      <c r="F119" s="26">
        <f>F79-F9-F20-F35-F47</f>
        <v>12751.50000000003</v>
      </c>
      <c r="Y119" s="264"/>
    </row>
    <row r="120" spans="2:25" ht="15" hidden="1">
      <c r="B120" s="202" t="s">
        <v>117</v>
      </c>
      <c r="F120" s="26">
        <f>F100-F95-F88-F89</f>
        <v>0</v>
      </c>
      <c r="Y120" s="264"/>
    </row>
    <row r="121" ht="15" hidden="1">
      <c r="Y121" s="264"/>
    </row>
    <row r="122" spans="2:25" ht="18" hidden="1">
      <c r="B122" s="100" t="s">
        <v>112</v>
      </c>
      <c r="C122" s="38">
        <v>25000000</v>
      </c>
      <c r="D122" s="38"/>
      <c r="E122" s="146">
        <v>72408.22</v>
      </c>
      <c r="F122" s="146">
        <v>18102.06</v>
      </c>
      <c r="G122" s="147">
        <v>20254.32</v>
      </c>
      <c r="H122" s="133">
        <f>G122-F122</f>
        <v>2152.2599999999984</v>
      </c>
      <c r="I122" s="135">
        <f>G122/F122*100</f>
        <v>111.88958604711286</v>
      </c>
      <c r="J122" s="138">
        <f>G122-E122</f>
        <v>-52153.9</v>
      </c>
      <c r="K122" s="138">
        <f>G122/E122*100</f>
        <v>27.972404238082362</v>
      </c>
      <c r="L122" s="138"/>
      <c r="M122" s="138"/>
      <c r="N122" s="138"/>
      <c r="O122" s="138"/>
      <c r="P122" s="138"/>
      <c r="Q122" s="172"/>
      <c r="R122" s="138"/>
      <c r="S122" s="138"/>
      <c r="T122" s="209"/>
      <c r="U122" s="207"/>
      <c r="V122" s="207"/>
      <c r="W122" s="208"/>
      <c r="X122" s="208"/>
      <c r="Y122" s="264"/>
    </row>
    <row r="123" spans="2:25" ht="23.25" customHeight="1" hidden="1">
      <c r="B123" s="13" t="s">
        <v>30</v>
      </c>
      <c r="C123" s="61"/>
      <c r="D123" s="61"/>
      <c r="E123" s="156">
        <f>E100+E122</f>
        <v>124993.633</v>
      </c>
      <c r="F123" s="156">
        <f>F100+F122</f>
        <v>19620.230000000003</v>
      </c>
      <c r="G123" s="156">
        <f>G100+G122</f>
        <v>21715.39</v>
      </c>
      <c r="H123" s="157">
        <f>G123-F123</f>
        <v>2095.159999999996</v>
      </c>
      <c r="I123" s="158">
        <f>G123/F123*100</f>
        <v>110.67857002695685</v>
      </c>
      <c r="J123" s="159">
        <f>G123-E123</f>
        <v>-103278.243</v>
      </c>
      <c r="K123" s="159">
        <f>G123/E123*100</f>
        <v>17.373196921158378</v>
      </c>
      <c r="L123" s="159"/>
      <c r="M123" s="159"/>
      <c r="N123" s="159"/>
      <c r="O123" s="159"/>
      <c r="P123" s="159"/>
      <c r="Q123" s="182"/>
      <c r="R123" s="159">
        <v>3039.87</v>
      </c>
      <c r="S123" s="159">
        <f>G123-R123</f>
        <v>18675.52</v>
      </c>
      <c r="T123" s="210">
        <f>G123/R123</f>
        <v>7.143525874461737</v>
      </c>
      <c r="U123" s="211"/>
      <c r="V123" s="211"/>
      <c r="W123" s="212"/>
      <c r="X123" s="212"/>
      <c r="Y123" s="264"/>
    </row>
    <row r="124" spans="2:25" ht="17.25" hidden="1">
      <c r="B124" s="20" t="s">
        <v>121</v>
      </c>
      <c r="C124" s="61"/>
      <c r="D124" s="61"/>
      <c r="E124" s="156">
        <f>E123+E79</f>
        <v>1752911.3329999999</v>
      </c>
      <c r="F124" s="156">
        <f>F123+F79</f>
        <v>256496.44000000003</v>
      </c>
      <c r="G124" s="156">
        <f>G123+G79</f>
        <v>153644.93</v>
      </c>
      <c r="H124" s="157">
        <f>G124-F124</f>
        <v>-102851.51000000004</v>
      </c>
      <c r="I124" s="158">
        <f>G124/F124*100</f>
        <v>59.901388884773596</v>
      </c>
      <c r="J124" s="159">
        <f>G124-E124</f>
        <v>-1599266.403</v>
      </c>
      <c r="K124" s="159">
        <f>G124/E124*100</f>
        <v>8.765128452735036</v>
      </c>
      <c r="L124" s="159"/>
      <c r="M124" s="159"/>
      <c r="N124" s="159"/>
      <c r="O124" s="159"/>
      <c r="P124" s="159"/>
      <c r="Q124" s="182"/>
      <c r="R124" s="159">
        <f>R101+R123</f>
        <v>206683.27</v>
      </c>
      <c r="S124" s="159">
        <f>G124-R124</f>
        <v>-53038.34</v>
      </c>
      <c r="T124" s="210">
        <f>G124/R124</f>
        <v>0.7433834872072617</v>
      </c>
      <c r="U124" s="213"/>
      <c r="V124" s="213"/>
      <c r="W124" s="212"/>
      <c r="X124" s="212"/>
      <c r="Y124" s="264"/>
    </row>
    <row r="125" spans="2:25" ht="15" hidden="1">
      <c r="B125" s="198" t="s">
        <v>123</v>
      </c>
      <c r="C125" s="196">
        <v>40000000</v>
      </c>
      <c r="D125" s="196"/>
      <c r="E125" s="201" t="e">
        <f>#N/A</f>
        <v>#N/A</v>
      </c>
      <c r="F125" s="201" t="e">
        <f>#N/A</f>
        <v>#N/A</v>
      </c>
      <c r="G125" s="201" t="e">
        <f>#N/A</f>
        <v>#N/A</v>
      </c>
      <c r="H125" s="201" t="e">
        <f>#N/A</f>
        <v>#N/A</v>
      </c>
      <c r="I125" s="201" t="e">
        <f>G125/F125*100</f>
        <v>#N/A</v>
      </c>
      <c r="J125" s="33" t="e">
        <f>#N/A</f>
        <v>#N/A</v>
      </c>
      <c r="K125" s="33" t="e">
        <f>G125/E125*100</f>
        <v>#N/A</v>
      </c>
      <c r="L125" s="237"/>
      <c r="M125" s="237"/>
      <c r="N125" s="237"/>
      <c r="O125" s="237"/>
      <c r="P125" s="237"/>
      <c r="Q125" s="248"/>
      <c r="X125" s="81"/>
      <c r="Y125" s="264"/>
    </row>
    <row r="126" spans="2:25" ht="26.25" hidden="1">
      <c r="B126" s="197" t="s">
        <v>114</v>
      </c>
      <c r="C126" s="196">
        <v>41033900</v>
      </c>
      <c r="D126" s="196"/>
      <c r="E126" s="201">
        <v>243334.5</v>
      </c>
      <c r="F126" s="201">
        <v>56191.6</v>
      </c>
      <c r="G126" s="201">
        <v>56191.6</v>
      </c>
      <c r="H126" s="201" t="e">
        <f>#N/A</f>
        <v>#N/A</v>
      </c>
      <c r="I126" s="201" t="e">
        <f>#N/A</f>
        <v>#N/A</v>
      </c>
      <c r="J126" s="33" t="e">
        <f>#N/A</f>
        <v>#N/A</v>
      </c>
      <c r="K126" s="33" t="e">
        <f>#N/A</f>
        <v>#N/A</v>
      </c>
      <c r="L126" s="237"/>
      <c r="M126" s="237"/>
      <c r="N126" s="237"/>
      <c r="O126" s="237"/>
      <c r="P126" s="237"/>
      <c r="Q126" s="248"/>
      <c r="X126" s="81"/>
      <c r="Y126" s="264"/>
    </row>
    <row r="127" spans="2:25" ht="26.25" hidden="1">
      <c r="B127" s="197" t="s">
        <v>115</v>
      </c>
      <c r="C127" s="196">
        <v>41034200</v>
      </c>
      <c r="D127" s="196"/>
      <c r="E127" s="201">
        <v>238249.5</v>
      </c>
      <c r="F127" s="201">
        <v>59541.9</v>
      </c>
      <c r="G127" s="201">
        <v>59541.9</v>
      </c>
      <c r="H127" s="201" t="e">
        <f>#N/A</f>
        <v>#N/A</v>
      </c>
      <c r="I127" s="201" t="e">
        <f>#N/A</f>
        <v>#N/A</v>
      </c>
      <c r="J127" s="33" t="e">
        <f>#N/A</f>
        <v>#N/A</v>
      </c>
      <c r="K127" s="33" t="e">
        <f>#N/A</f>
        <v>#N/A</v>
      </c>
      <c r="L127" s="237"/>
      <c r="M127" s="237"/>
      <c r="N127" s="237"/>
      <c r="O127" s="237"/>
      <c r="P127" s="237"/>
      <c r="Q127" s="248"/>
      <c r="X127" s="81"/>
      <c r="Y127" s="264"/>
    </row>
    <row r="128" spans="2:25" s="199" customFormat="1" ht="25.5" customHeight="1" hidden="1">
      <c r="B128" s="214" t="s">
        <v>113</v>
      </c>
      <c r="C128" s="215"/>
      <c r="D128" s="215"/>
      <c r="E128" s="216" t="e">
        <f>E124+E125</f>
        <v>#N/A</v>
      </c>
      <c r="F128" s="216" t="e">
        <f>F124+F125</f>
        <v>#N/A</v>
      </c>
      <c r="G128" s="216" t="e">
        <f>G124+G125</f>
        <v>#N/A</v>
      </c>
      <c r="H128" s="217" t="e">
        <f>#N/A</f>
        <v>#N/A</v>
      </c>
      <c r="I128" s="216" t="e">
        <f>#N/A</f>
        <v>#N/A</v>
      </c>
      <c r="J128" s="218" t="e">
        <f>#N/A</f>
        <v>#N/A</v>
      </c>
      <c r="K128" s="218" t="e">
        <f>#N/A</f>
        <v>#N/A</v>
      </c>
      <c r="L128" s="238"/>
      <c r="M128" s="238"/>
      <c r="N128" s="238"/>
      <c r="O128" s="238"/>
      <c r="P128" s="238"/>
      <c r="Q128" s="249"/>
      <c r="X128" s="200"/>
      <c r="Y128" s="264"/>
    </row>
    <row r="129" ht="15" hidden="1">
      <c r="Y129" s="264"/>
    </row>
    <row r="130" ht="15" hidden="1">
      <c r="Y130" s="264"/>
    </row>
    <row r="131" ht="15" hidden="1">
      <c r="Y131" s="264"/>
    </row>
    <row r="132" ht="15" hidden="1">
      <c r="Y132" s="264"/>
    </row>
    <row r="133" ht="15" hidden="1">
      <c r="Y133" s="264"/>
    </row>
    <row r="134" ht="15" hidden="1">
      <c r="Y134" s="264"/>
    </row>
    <row r="135" spans="2:25" ht="15" hidden="1">
      <c r="B135" s="261" t="s">
        <v>145</v>
      </c>
      <c r="Y135" s="264"/>
    </row>
    <row r="136" spans="1:25" s="6" customFormat="1" ht="30.75" customHeight="1" hidden="1">
      <c r="A136" s="8"/>
      <c r="B136" s="252" t="str">
        <f>B17</f>
        <v>Рентна плата за спеціальне використання лісових ресурсів</v>
      </c>
      <c r="C136" s="297">
        <f>C17</f>
        <v>13010200</v>
      </c>
      <c r="D136" s="297"/>
      <c r="E136" s="313">
        <f aca="true" t="shared" si="41" ref="E136:T137">E17</f>
        <v>0</v>
      </c>
      <c r="F136" s="313">
        <f t="shared" si="41"/>
        <v>0</v>
      </c>
      <c r="G136" s="315">
        <f t="shared" si="41"/>
        <v>0</v>
      </c>
      <c r="H136" s="313">
        <f t="shared" si="41"/>
        <v>0</v>
      </c>
      <c r="I136" s="324">
        <f t="shared" si="41"/>
        <v>0</v>
      </c>
      <c r="J136" s="323">
        <f t="shared" si="41"/>
        <v>0</v>
      </c>
      <c r="K136" s="324">
        <f t="shared" si="41"/>
        <v>0</v>
      </c>
      <c r="L136" s="185">
        <f t="shared" si="41"/>
        <v>0</v>
      </c>
      <c r="M136" s="185">
        <f t="shared" si="41"/>
        <v>0</v>
      </c>
      <c r="N136" s="185">
        <f t="shared" si="41"/>
        <v>0</v>
      </c>
      <c r="O136" s="323">
        <f t="shared" si="41"/>
        <v>0.49</v>
      </c>
      <c r="P136" s="323">
        <f t="shared" si="41"/>
        <v>-0.49</v>
      </c>
      <c r="Q136" s="324">
        <f t="shared" si="41"/>
        <v>0</v>
      </c>
      <c r="R136" s="323">
        <f t="shared" si="41"/>
        <v>0</v>
      </c>
      <c r="S136" s="322">
        <f t="shared" si="41"/>
        <v>0</v>
      </c>
      <c r="T136" s="324" t="e">
        <f t="shared" si="41"/>
        <v>#DIV/0!</v>
      </c>
      <c r="U136" s="300"/>
      <c r="V136" s="300"/>
      <c r="W136" s="300"/>
      <c r="X136" s="300"/>
      <c r="Y136" s="264" t="e">
        <f aca="true" t="shared" si="42" ref="Y136:Y145">T136-Q136</f>
        <v>#DIV/0!</v>
      </c>
    </row>
    <row r="137" spans="1:25" s="6" customFormat="1" ht="30.75" hidden="1">
      <c r="A137" s="8"/>
      <c r="B137" s="253" t="str">
        <f>B18</f>
        <v>Рентна плата за користування надрами для видобування корисних копалин місцевого значення</v>
      </c>
      <c r="C137" s="297">
        <f>C18</f>
        <v>13030200</v>
      </c>
      <c r="D137" s="297"/>
      <c r="E137" s="313">
        <f t="shared" si="41"/>
        <v>235.6</v>
      </c>
      <c r="F137" s="313">
        <f t="shared" si="41"/>
        <v>110</v>
      </c>
      <c r="G137" s="315">
        <f t="shared" si="41"/>
        <v>0</v>
      </c>
      <c r="H137" s="313">
        <f t="shared" si="41"/>
        <v>-110</v>
      </c>
      <c r="I137" s="324">
        <f t="shared" si="41"/>
        <v>0</v>
      </c>
      <c r="J137" s="313">
        <f t="shared" si="41"/>
        <v>-235.6</v>
      </c>
      <c r="K137" s="324">
        <f t="shared" si="41"/>
        <v>0</v>
      </c>
      <c r="L137" s="108">
        <f t="shared" si="41"/>
        <v>0</v>
      </c>
      <c r="M137" s="108">
        <f t="shared" si="41"/>
        <v>0</v>
      </c>
      <c r="N137" s="108">
        <f t="shared" si="41"/>
        <v>0</v>
      </c>
      <c r="O137" s="323">
        <f t="shared" si="41"/>
        <v>220.59</v>
      </c>
      <c r="P137" s="323">
        <f t="shared" si="41"/>
        <v>15.009999999999991</v>
      </c>
      <c r="Q137" s="324">
        <f t="shared" si="41"/>
        <v>1.0680447889750215</v>
      </c>
      <c r="R137" s="323">
        <f t="shared" si="41"/>
        <v>0</v>
      </c>
      <c r="S137" s="322">
        <f t="shared" si="41"/>
        <v>0</v>
      </c>
      <c r="T137" s="324" t="e">
        <f t="shared" si="41"/>
        <v>#DIV/0!</v>
      </c>
      <c r="U137" s="301"/>
      <c r="V137" s="301"/>
      <c r="W137" s="301"/>
      <c r="X137" s="301"/>
      <c r="Y137" s="264" t="e">
        <f t="shared" si="42"/>
        <v>#DIV/0!</v>
      </c>
    </row>
    <row r="138" spans="1:25" s="6" customFormat="1" ht="15" hidden="1">
      <c r="A138" s="8"/>
      <c r="B138" s="254" t="str">
        <f aca="true" t="shared" si="43" ref="B138:T141">B56</f>
        <v>Інші надходження (по актам ДФІУ)</v>
      </c>
      <c r="C138" s="298">
        <f t="shared" si="43"/>
        <v>21080500</v>
      </c>
      <c r="D138" s="298"/>
      <c r="E138" s="316">
        <f t="shared" si="43"/>
        <v>158</v>
      </c>
      <c r="F138" s="316">
        <f t="shared" si="43"/>
        <v>1</v>
      </c>
      <c r="G138" s="317">
        <f t="shared" si="43"/>
        <v>0</v>
      </c>
      <c r="H138" s="316">
        <f t="shared" si="43"/>
        <v>-1</v>
      </c>
      <c r="I138" s="325">
        <f t="shared" si="43"/>
        <v>0</v>
      </c>
      <c r="J138" s="322">
        <f t="shared" si="43"/>
        <v>-158</v>
      </c>
      <c r="K138" s="325">
        <f t="shared" si="43"/>
        <v>0</v>
      </c>
      <c r="L138" s="107">
        <f t="shared" si="43"/>
        <v>0</v>
      </c>
      <c r="M138" s="107">
        <f t="shared" si="43"/>
        <v>0</v>
      </c>
      <c r="N138" s="107">
        <f t="shared" si="43"/>
        <v>0</v>
      </c>
      <c r="O138" s="322">
        <f t="shared" si="43"/>
        <v>153.3</v>
      </c>
      <c r="P138" s="322">
        <f t="shared" si="43"/>
        <v>4.699999999999989</v>
      </c>
      <c r="Q138" s="325">
        <f t="shared" si="43"/>
        <v>1.030658838878017</v>
      </c>
      <c r="R138" s="322">
        <f t="shared" si="43"/>
        <v>57.08</v>
      </c>
      <c r="S138" s="322">
        <f t="shared" si="43"/>
        <v>-57.08</v>
      </c>
      <c r="T138" s="324">
        <f t="shared" si="43"/>
        <v>0</v>
      </c>
      <c r="U138" s="300"/>
      <c r="V138" s="300"/>
      <c r="W138" s="300"/>
      <c r="X138" s="300"/>
      <c r="Y138" s="264">
        <f t="shared" si="42"/>
        <v>-1.030658838878017</v>
      </c>
    </row>
    <row r="139" spans="1:25" s="6" customFormat="1" ht="30.75" hidden="1">
      <c r="A139" s="8"/>
      <c r="B139" s="255" t="str">
        <f t="shared" si="43"/>
        <v>Штрафні санкції за порушення законодавства про патентування</v>
      </c>
      <c r="C139" s="299">
        <f t="shared" si="43"/>
        <v>21080900</v>
      </c>
      <c r="D139" s="299"/>
      <c r="E139" s="318">
        <f t="shared" si="43"/>
        <v>13</v>
      </c>
      <c r="F139" s="318">
        <f t="shared" si="43"/>
        <v>1</v>
      </c>
      <c r="G139" s="319">
        <f t="shared" si="43"/>
        <v>2.02</v>
      </c>
      <c r="H139" s="318">
        <f t="shared" si="43"/>
        <v>1.02</v>
      </c>
      <c r="I139" s="326">
        <f t="shared" si="43"/>
        <v>2.02</v>
      </c>
      <c r="J139" s="318">
        <f t="shared" si="43"/>
        <v>-10.98</v>
      </c>
      <c r="K139" s="326">
        <f t="shared" si="43"/>
        <v>0.1553846153846154</v>
      </c>
      <c r="L139" s="195">
        <f t="shared" si="43"/>
        <v>0</v>
      </c>
      <c r="M139" s="195">
        <f t="shared" si="43"/>
        <v>0</v>
      </c>
      <c r="N139" s="195">
        <f t="shared" si="43"/>
        <v>0</v>
      </c>
      <c r="O139" s="327">
        <f t="shared" si="43"/>
        <v>12.95</v>
      </c>
      <c r="P139" s="327">
        <f t="shared" si="43"/>
        <v>0.05000000000000071</v>
      </c>
      <c r="Q139" s="326">
        <f t="shared" si="43"/>
        <v>1.0038610038610039</v>
      </c>
      <c r="R139" s="327">
        <f t="shared" si="43"/>
        <v>2.03</v>
      </c>
      <c r="S139" s="327">
        <f t="shared" si="43"/>
        <v>-0.009999999999999787</v>
      </c>
      <c r="T139" s="331">
        <f t="shared" si="43"/>
        <v>0</v>
      </c>
      <c r="U139" s="302"/>
      <c r="V139" s="302"/>
      <c r="W139" s="302"/>
      <c r="X139" s="302"/>
      <c r="Y139" s="264">
        <f t="shared" si="42"/>
        <v>-1.0038610038610039</v>
      </c>
    </row>
    <row r="140" spans="1:25" s="6" customFormat="1" ht="15" hidden="1">
      <c r="A140" s="8"/>
      <c r="B140" s="253" t="str">
        <f t="shared" si="43"/>
        <v>Адмінстративні штрафи та інші санкції</v>
      </c>
      <c r="C140" s="297">
        <f t="shared" si="43"/>
        <v>21081100</v>
      </c>
      <c r="D140" s="297"/>
      <c r="E140" s="313">
        <f t="shared" si="43"/>
        <v>744</v>
      </c>
      <c r="F140" s="313">
        <f t="shared" si="43"/>
        <v>40</v>
      </c>
      <c r="G140" s="315">
        <f t="shared" si="43"/>
        <v>28.43</v>
      </c>
      <c r="H140" s="313">
        <f t="shared" si="43"/>
        <v>-11.57</v>
      </c>
      <c r="I140" s="324">
        <f t="shared" si="43"/>
        <v>0.71075</v>
      </c>
      <c r="J140" s="313">
        <f t="shared" si="43"/>
        <v>-715.57</v>
      </c>
      <c r="K140" s="324">
        <f t="shared" si="43"/>
        <v>0.03821236559139785</v>
      </c>
      <c r="L140" s="108">
        <f t="shared" si="43"/>
        <v>0</v>
      </c>
      <c r="M140" s="108">
        <f t="shared" si="43"/>
        <v>0</v>
      </c>
      <c r="N140" s="108">
        <f t="shared" si="43"/>
        <v>0</v>
      </c>
      <c r="O140" s="323">
        <f t="shared" si="43"/>
        <v>705.31</v>
      </c>
      <c r="P140" s="323">
        <f t="shared" si="43"/>
        <v>38.690000000000055</v>
      </c>
      <c r="Q140" s="324">
        <f t="shared" si="43"/>
        <v>1.0548553118486907</v>
      </c>
      <c r="R140" s="323">
        <f t="shared" si="43"/>
        <v>82.08</v>
      </c>
      <c r="S140" s="322">
        <f t="shared" si="43"/>
        <v>-53.65</v>
      </c>
      <c r="T140" s="324">
        <f t="shared" si="43"/>
        <v>0.346369395711501</v>
      </c>
      <c r="U140" s="301"/>
      <c r="V140" s="301"/>
      <c r="W140" s="301"/>
      <c r="X140" s="301"/>
      <c r="Y140" s="264">
        <f t="shared" si="42"/>
        <v>-0.7084859161371897</v>
      </c>
    </row>
    <row r="141" spans="1:25" s="6" customFormat="1" ht="46.5" hidden="1">
      <c r="A141" s="8"/>
      <c r="B141" s="253" t="str">
        <f t="shared" si="43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7">
        <f t="shared" si="43"/>
        <v>21081500</v>
      </c>
      <c r="D141" s="297"/>
      <c r="E141" s="313">
        <f t="shared" si="43"/>
        <v>115.5</v>
      </c>
      <c r="F141" s="313">
        <f t="shared" si="43"/>
        <v>2</v>
      </c>
      <c r="G141" s="315">
        <f t="shared" si="43"/>
        <v>-8.08</v>
      </c>
      <c r="H141" s="313">
        <f t="shared" si="43"/>
        <v>-10.08</v>
      </c>
      <c r="I141" s="324">
        <f t="shared" si="43"/>
        <v>-4.04</v>
      </c>
      <c r="J141" s="313">
        <f t="shared" si="43"/>
        <v>-123.58</v>
      </c>
      <c r="K141" s="324">
        <f t="shared" si="43"/>
        <v>-0.06995670995670995</v>
      </c>
      <c r="L141" s="108">
        <f t="shared" si="43"/>
        <v>0</v>
      </c>
      <c r="M141" s="108">
        <f t="shared" si="43"/>
        <v>0</v>
      </c>
      <c r="N141" s="108">
        <f t="shared" si="43"/>
        <v>0</v>
      </c>
      <c r="O141" s="323">
        <f t="shared" si="43"/>
        <v>114.3</v>
      </c>
      <c r="P141" s="323">
        <f t="shared" si="43"/>
        <v>1.2000000000000028</v>
      </c>
      <c r="Q141" s="324">
        <f t="shared" si="43"/>
        <v>1.010498687664042</v>
      </c>
      <c r="R141" s="323">
        <f t="shared" si="43"/>
        <v>0</v>
      </c>
      <c r="S141" s="322">
        <f t="shared" si="43"/>
        <v>-8.08</v>
      </c>
      <c r="T141" s="324" t="e">
        <f t="shared" si="43"/>
        <v>#DIV/0!</v>
      </c>
      <c r="U141" s="301"/>
      <c r="V141" s="301"/>
      <c r="W141" s="301"/>
      <c r="X141" s="301"/>
      <c r="Y141" s="264" t="e">
        <f t="shared" si="42"/>
        <v>#DIV/0!</v>
      </c>
    </row>
    <row r="142" spans="1:25" s="6" customFormat="1" ht="46.5" hidden="1">
      <c r="A142" s="8"/>
      <c r="B142" s="253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7" t="str">
        <f>C71</f>
        <v>24030000</v>
      </c>
      <c r="D142" s="297"/>
      <c r="E142" s="313">
        <f aca="true" t="shared" si="44" ref="E142:T142">E71</f>
        <v>3</v>
      </c>
      <c r="F142" s="313">
        <f t="shared" si="44"/>
        <v>0</v>
      </c>
      <c r="G142" s="315">
        <f t="shared" si="44"/>
        <v>0</v>
      </c>
      <c r="H142" s="313">
        <f t="shared" si="44"/>
        <v>0</v>
      </c>
      <c r="I142" s="324" t="e">
        <f t="shared" si="44"/>
        <v>#DIV/0!</v>
      </c>
      <c r="J142" s="313">
        <f t="shared" si="44"/>
        <v>-3</v>
      </c>
      <c r="K142" s="324">
        <f t="shared" si="44"/>
        <v>0</v>
      </c>
      <c r="L142" s="108">
        <f t="shared" si="44"/>
        <v>0</v>
      </c>
      <c r="M142" s="108">
        <f t="shared" si="44"/>
        <v>0</v>
      </c>
      <c r="N142" s="108">
        <f t="shared" si="44"/>
        <v>0</v>
      </c>
      <c r="O142" s="323">
        <f t="shared" si="44"/>
        <v>2.04</v>
      </c>
      <c r="P142" s="323">
        <f t="shared" si="44"/>
        <v>0.96</v>
      </c>
      <c r="Q142" s="324">
        <f t="shared" si="44"/>
        <v>1.4705882352941175</v>
      </c>
      <c r="R142" s="323">
        <f t="shared" si="44"/>
        <v>1.67</v>
      </c>
      <c r="S142" s="322">
        <f t="shared" si="44"/>
        <v>-1.67</v>
      </c>
      <c r="T142" s="324">
        <f t="shared" si="44"/>
        <v>0</v>
      </c>
      <c r="U142" s="301"/>
      <c r="V142" s="301"/>
      <c r="W142" s="301"/>
      <c r="X142" s="301"/>
      <c r="Y142" s="264">
        <f t="shared" si="42"/>
        <v>-1.4705882352941175</v>
      </c>
    </row>
    <row r="143" spans="1:25" s="6" customFormat="1" ht="15" hidden="1">
      <c r="A143" s="8"/>
      <c r="B143" s="259" t="str">
        <f>B77</f>
        <v>Надходження коштів від реалізації безхазяйного майна</v>
      </c>
      <c r="C143" s="297">
        <f>C77</f>
        <v>31010200</v>
      </c>
      <c r="D143" s="297"/>
      <c r="E143" s="320">
        <f aca="true" t="shared" si="45" ref="E143:T144">E77</f>
        <v>35</v>
      </c>
      <c r="F143" s="320">
        <f t="shared" si="45"/>
        <v>3</v>
      </c>
      <c r="G143" s="321">
        <f t="shared" si="45"/>
        <v>3.77</v>
      </c>
      <c r="H143" s="320">
        <f t="shared" si="45"/>
        <v>0.77</v>
      </c>
      <c r="I143" s="310">
        <f t="shared" si="45"/>
        <v>1.2566666666666666</v>
      </c>
      <c r="J143" s="320">
        <f t="shared" si="45"/>
        <v>-31.23</v>
      </c>
      <c r="K143" s="310">
        <f t="shared" si="45"/>
        <v>0.10771428571428572</v>
      </c>
      <c r="L143" s="109">
        <f t="shared" si="45"/>
        <v>0</v>
      </c>
      <c r="M143" s="109">
        <f t="shared" si="45"/>
        <v>0</v>
      </c>
      <c r="N143" s="109">
        <f t="shared" si="45"/>
        <v>0</v>
      </c>
      <c r="O143" s="328">
        <f t="shared" si="45"/>
        <v>34.22</v>
      </c>
      <c r="P143" s="328">
        <f t="shared" si="45"/>
        <v>0.7800000000000011</v>
      </c>
      <c r="Q143" s="310">
        <f t="shared" si="45"/>
        <v>1.0227936879018118</v>
      </c>
      <c r="R143" s="328">
        <f t="shared" si="45"/>
        <v>8.6</v>
      </c>
      <c r="S143" s="329">
        <f t="shared" si="45"/>
        <v>-4.83</v>
      </c>
      <c r="T143" s="310">
        <f t="shared" si="45"/>
        <v>0.43837209302325586</v>
      </c>
      <c r="U143" s="303"/>
      <c r="V143" s="303"/>
      <c r="W143" s="303"/>
      <c r="X143" s="303"/>
      <c r="Y143" s="264">
        <f t="shared" si="42"/>
        <v>-0.5844215948785559</v>
      </c>
    </row>
    <row r="144" spans="1:25" s="6" customFormat="1" ht="30.75" hidden="1">
      <c r="A144" s="8"/>
      <c r="B144" s="259" t="str">
        <f>B78</f>
        <v>Надходження коштів від Держ фонду дорогоцінних металів та дорогоцінного каміння</v>
      </c>
      <c r="C144" s="297">
        <f>C78</f>
        <v>31020000</v>
      </c>
      <c r="D144" s="297"/>
      <c r="E144" s="320">
        <f t="shared" si="45"/>
        <v>0</v>
      </c>
      <c r="F144" s="320">
        <f t="shared" si="45"/>
        <v>0</v>
      </c>
      <c r="G144" s="321">
        <f t="shared" si="45"/>
        <v>0</v>
      </c>
      <c r="H144" s="320">
        <f t="shared" si="45"/>
        <v>0</v>
      </c>
      <c r="I144" s="310" t="e">
        <f t="shared" si="45"/>
        <v>#DIV/0!</v>
      </c>
      <c r="J144" s="320">
        <f t="shared" si="45"/>
        <v>0</v>
      </c>
      <c r="K144" s="310">
        <f t="shared" si="45"/>
        <v>0</v>
      </c>
      <c r="L144" s="109">
        <f t="shared" si="45"/>
        <v>0</v>
      </c>
      <c r="M144" s="109">
        <f t="shared" si="45"/>
        <v>0</v>
      </c>
      <c r="N144" s="109">
        <f t="shared" si="45"/>
        <v>0</v>
      </c>
      <c r="O144" s="328">
        <f t="shared" si="45"/>
        <v>-4.86</v>
      </c>
      <c r="P144" s="328">
        <f t="shared" si="45"/>
        <v>4.86</v>
      </c>
      <c r="Q144" s="310">
        <f t="shared" si="45"/>
        <v>0</v>
      </c>
      <c r="R144" s="328">
        <f t="shared" si="45"/>
        <v>-5.33</v>
      </c>
      <c r="S144" s="329">
        <f t="shared" si="45"/>
        <v>5.33</v>
      </c>
      <c r="T144" s="310">
        <f t="shared" si="45"/>
        <v>0</v>
      </c>
      <c r="U144" s="303"/>
      <c r="V144" s="303"/>
      <c r="W144" s="303"/>
      <c r="X144" s="303"/>
      <c r="Y144" s="264">
        <f t="shared" si="42"/>
        <v>0</v>
      </c>
    </row>
    <row r="145" spans="5:25" ht="15" hidden="1">
      <c r="E145" s="307">
        <f>E136+E137+E138+E139+E140+E141+E142+E143+E144</f>
        <v>1304.1</v>
      </c>
      <c r="F145" s="307">
        <f>F136+F137+F138+F139+F140+F141+F142+F143+F144</f>
        <v>157</v>
      </c>
      <c r="G145" s="308">
        <f>G136+G137+G138+G139+G140+G141+G142+G143+G144</f>
        <v>26.139999999999997</v>
      </c>
      <c r="H145" s="307">
        <f>G145-F145</f>
        <v>-130.86</v>
      </c>
      <c r="I145" s="241">
        <f>G145/F145</f>
        <v>0.1664968152866242</v>
      </c>
      <c r="J145" s="307">
        <f>G145-E145</f>
        <v>-1277.9599999999998</v>
      </c>
      <c r="K145" s="241">
        <f>G145/E145</f>
        <v>0.020044475116938885</v>
      </c>
      <c r="L145" s="82"/>
      <c r="M145" s="82"/>
      <c r="N145" s="82"/>
      <c r="O145" s="307">
        <f>O136+O137+O138+O139+O140+O141+O142+O143+O144</f>
        <v>1238.34</v>
      </c>
      <c r="P145" s="307">
        <f>E145-O145</f>
        <v>65.75999999999999</v>
      </c>
      <c r="Q145" s="241">
        <f>E145/O145</f>
        <v>1.053103348030428</v>
      </c>
      <c r="R145" s="307">
        <f>R136+R137+R138+R139+R140+R141+R142+R143+R144</f>
        <v>146.12999999999997</v>
      </c>
      <c r="S145" s="307">
        <f>G145-R145</f>
        <v>-119.98999999999997</v>
      </c>
      <c r="T145" s="330">
        <f>G145/R145</f>
        <v>0.17888181755970714</v>
      </c>
      <c r="U145" s="304"/>
      <c r="V145" s="304"/>
      <c r="W145" s="304"/>
      <c r="X145" s="304"/>
      <c r="Y145" s="267">
        <f t="shared" si="42"/>
        <v>-0.8742215304707208</v>
      </c>
    </row>
    <row r="146" spans="20:25" ht="15" hidden="1">
      <c r="T146" s="64"/>
      <c r="U146" s="304"/>
      <c r="V146" s="304"/>
      <c r="W146" s="304"/>
      <c r="X146" s="304"/>
      <c r="Y146" s="264"/>
    </row>
    <row r="147" spans="2:25" ht="15" hidden="1">
      <c r="B147" s="219" t="s">
        <v>131</v>
      </c>
      <c r="T147" s="64"/>
      <c r="U147" s="304"/>
      <c r="V147" s="304"/>
      <c r="W147" s="304"/>
      <c r="X147" s="304"/>
      <c r="Y147" s="264"/>
    </row>
    <row r="148" spans="1:25" s="6" customFormat="1" ht="30.75" hidden="1">
      <c r="A148" s="8"/>
      <c r="B148" s="251" t="str">
        <f aca="true" t="shared" si="46" ref="B148:T152">B60</f>
        <v>Адміністративний збір за проведення державної реєстрації юридичних осіб та фізичних осіб - підпр</v>
      </c>
      <c r="C148" s="294">
        <f t="shared" si="46"/>
        <v>22010300</v>
      </c>
      <c r="D148" s="294"/>
      <c r="E148" s="313">
        <f t="shared" si="46"/>
        <v>1284</v>
      </c>
      <c r="F148" s="313">
        <f t="shared" si="46"/>
        <v>175</v>
      </c>
      <c r="G148" s="315">
        <f t="shared" si="46"/>
        <v>113.92</v>
      </c>
      <c r="H148" s="313">
        <f t="shared" si="46"/>
        <v>-61.08</v>
      </c>
      <c r="I148" s="311">
        <f t="shared" si="46"/>
        <v>0.6509714285714285</v>
      </c>
      <c r="J148" s="313">
        <f t="shared" si="46"/>
        <v>-1170.08</v>
      </c>
      <c r="K148" s="311">
        <f t="shared" si="46"/>
        <v>0.0887227414330218</v>
      </c>
      <c r="L148" s="108">
        <f t="shared" si="46"/>
        <v>0</v>
      </c>
      <c r="M148" s="108">
        <f t="shared" si="46"/>
        <v>0</v>
      </c>
      <c r="N148" s="108">
        <f t="shared" si="46"/>
        <v>0</v>
      </c>
      <c r="O148" s="313">
        <f t="shared" si="46"/>
        <v>1205.14</v>
      </c>
      <c r="P148" s="313">
        <f t="shared" si="46"/>
        <v>78.8599999999999</v>
      </c>
      <c r="Q148" s="311">
        <f t="shared" si="46"/>
        <v>1.0654363808354215</v>
      </c>
      <c r="R148" s="313">
        <f t="shared" si="46"/>
        <v>192.39</v>
      </c>
      <c r="S148" s="316">
        <f t="shared" si="46"/>
        <v>-78.46999999999998</v>
      </c>
      <c r="T148" s="311">
        <f t="shared" si="46"/>
        <v>0.5921305681168461</v>
      </c>
      <c r="U148" s="301"/>
      <c r="V148" s="301"/>
      <c r="W148" s="301"/>
      <c r="X148" s="301"/>
      <c r="Y148" s="264">
        <f aca="true" t="shared" si="47" ref="Y148:Y153">T148-Q148</f>
        <v>-0.4733058127185754</v>
      </c>
    </row>
    <row r="149" spans="1:25" s="6" customFormat="1" ht="15" hidden="1">
      <c r="A149" s="8"/>
      <c r="B149" s="251" t="str">
        <f t="shared" si="46"/>
        <v>Плата за сертифікати</v>
      </c>
      <c r="C149" s="294">
        <f t="shared" si="46"/>
        <v>22010200</v>
      </c>
      <c r="D149" s="294"/>
      <c r="E149" s="313">
        <f t="shared" si="46"/>
        <v>0</v>
      </c>
      <c r="F149" s="313">
        <f t="shared" si="46"/>
        <v>0</v>
      </c>
      <c r="G149" s="315">
        <f t="shared" si="46"/>
        <v>0</v>
      </c>
      <c r="H149" s="313">
        <f t="shared" si="46"/>
        <v>0</v>
      </c>
      <c r="I149" s="311" t="e">
        <f t="shared" si="46"/>
        <v>#DIV/0!</v>
      </c>
      <c r="J149" s="313">
        <f t="shared" si="46"/>
        <v>0</v>
      </c>
      <c r="K149" s="311" t="e">
        <f t="shared" si="46"/>
        <v>#DIV/0!</v>
      </c>
      <c r="L149" s="108">
        <f t="shared" si="46"/>
        <v>0</v>
      </c>
      <c r="M149" s="108">
        <f t="shared" si="46"/>
        <v>0</v>
      </c>
      <c r="N149" s="108">
        <f t="shared" si="46"/>
        <v>0</v>
      </c>
      <c r="O149" s="313">
        <f t="shared" si="46"/>
        <v>23.38</v>
      </c>
      <c r="P149" s="313">
        <f t="shared" si="46"/>
        <v>-23.38</v>
      </c>
      <c r="Q149" s="311">
        <f t="shared" si="46"/>
        <v>0</v>
      </c>
      <c r="R149" s="313">
        <f t="shared" si="46"/>
        <v>0</v>
      </c>
      <c r="S149" s="316">
        <f t="shared" si="46"/>
        <v>0</v>
      </c>
      <c r="T149" s="311">
        <f t="shared" si="46"/>
        <v>0</v>
      </c>
      <c r="U149" s="301"/>
      <c r="V149" s="301"/>
      <c r="W149" s="301"/>
      <c r="X149" s="301"/>
      <c r="Y149" s="264">
        <f t="shared" si="47"/>
        <v>0</v>
      </c>
    </row>
    <row r="150" spans="1:25" s="6" customFormat="1" ht="15" hidden="1">
      <c r="A150" s="8"/>
      <c r="B150" s="257" t="str">
        <f t="shared" si="46"/>
        <v>Плата за надання інших адміністративних послуг</v>
      </c>
      <c r="C150" s="295">
        <f t="shared" si="46"/>
        <v>22012500</v>
      </c>
      <c r="D150" s="295"/>
      <c r="E150" s="314">
        <f t="shared" si="46"/>
        <v>21260</v>
      </c>
      <c r="F150" s="314">
        <f t="shared" si="46"/>
        <v>3200</v>
      </c>
      <c r="G150" s="332">
        <f t="shared" si="46"/>
        <v>2350.21</v>
      </c>
      <c r="H150" s="314">
        <f t="shared" si="46"/>
        <v>-849.79</v>
      </c>
      <c r="I150" s="312">
        <f t="shared" si="46"/>
        <v>0.734440625</v>
      </c>
      <c r="J150" s="314">
        <f t="shared" si="46"/>
        <v>-18909.79</v>
      </c>
      <c r="K150" s="312">
        <f t="shared" si="46"/>
        <v>0.11054609595484478</v>
      </c>
      <c r="L150" s="30">
        <f t="shared" si="46"/>
        <v>0</v>
      </c>
      <c r="M150" s="30">
        <f t="shared" si="46"/>
        <v>0</v>
      </c>
      <c r="N150" s="30">
        <f t="shared" si="46"/>
        <v>0</v>
      </c>
      <c r="O150" s="314">
        <f t="shared" si="46"/>
        <v>20110.14</v>
      </c>
      <c r="P150" s="314">
        <f t="shared" si="46"/>
        <v>1149.8600000000006</v>
      </c>
      <c r="Q150" s="312">
        <f t="shared" si="46"/>
        <v>1.0571781200926498</v>
      </c>
      <c r="R150" s="314">
        <f t="shared" si="46"/>
        <v>2143.72</v>
      </c>
      <c r="S150" s="333">
        <f t="shared" si="46"/>
        <v>206.49000000000024</v>
      </c>
      <c r="T150" s="312">
        <f t="shared" si="46"/>
        <v>1.0963232138525556</v>
      </c>
      <c r="U150" s="305"/>
      <c r="V150" s="305"/>
      <c r="W150" s="305"/>
      <c r="X150" s="305"/>
      <c r="Y150" s="264">
        <f t="shared" si="47"/>
        <v>0.039145093759905825</v>
      </c>
    </row>
    <row r="151" spans="1:25" s="6" customFormat="1" ht="30.75" hidden="1">
      <c r="A151" s="8"/>
      <c r="B151" s="257" t="str">
        <f t="shared" si="46"/>
        <v>Адміністративний збір за державну реєстрацію речових прав на нерухоме майно та їх обтяжень</v>
      </c>
      <c r="C151" s="295">
        <f t="shared" si="46"/>
        <v>22012600</v>
      </c>
      <c r="D151" s="295"/>
      <c r="E151" s="314">
        <f t="shared" si="46"/>
        <v>767</v>
      </c>
      <c r="F151" s="314">
        <f t="shared" si="46"/>
        <v>170</v>
      </c>
      <c r="G151" s="332">
        <f t="shared" si="46"/>
        <v>68.5</v>
      </c>
      <c r="H151" s="314">
        <f t="shared" si="46"/>
        <v>-101.5</v>
      </c>
      <c r="I151" s="312">
        <f t="shared" si="46"/>
        <v>0.40294117647058825</v>
      </c>
      <c r="J151" s="314">
        <f t="shared" si="46"/>
        <v>-698.5</v>
      </c>
      <c r="K151" s="312">
        <f t="shared" si="46"/>
        <v>0.08930899608865711</v>
      </c>
      <c r="L151" s="30">
        <f t="shared" si="46"/>
        <v>0</v>
      </c>
      <c r="M151" s="30">
        <f t="shared" si="46"/>
        <v>0</v>
      </c>
      <c r="N151" s="30">
        <f t="shared" si="46"/>
        <v>0</v>
      </c>
      <c r="O151" s="314">
        <f t="shared" si="46"/>
        <v>710.04</v>
      </c>
      <c r="P151" s="314">
        <f t="shared" si="46"/>
        <v>56.960000000000036</v>
      </c>
      <c r="Q151" s="312">
        <f t="shared" si="46"/>
        <v>1.0802208326291478</v>
      </c>
      <c r="R151" s="314">
        <f t="shared" si="46"/>
        <v>90.44</v>
      </c>
      <c r="S151" s="333">
        <f t="shared" si="46"/>
        <v>-21.939999999999998</v>
      </c>
      <c r="T151" s="312">
        <f t="shared" si="46"/>
        <v>0.7574082264484742</v>
      </c>
      <c r="U151" s="305"/>
      <c r="V151" s="305"/>
      <c r="W151" s="305"/>
      <c r="X151" s="305"/>
      <c r="Y151" s="264">
        <f t="shared" si="47"/>
        <v>-0.32281260618067364</v>
      </c>
    </row>
    <row r="152" spans="1:25" s="6" customFormat="1" ht="30.75" hidden="1">
      <c r="A152" s="8"/>
      <c r="B152" s="257" t="str">
        <f t="shared" si="46"/>
        <v>Плата за скорочення термінів надання послуг у сфері державної реєстрації речових прав на нерухоме майно</v>
      </c>
      <c r="C152" s="295">
        <f t="shared" si="46"/>
        <v>22012900</v>
      </c>
      <c r="D152" s="295"/>
      <c r="E152" s="314">
        <f t="shared" si="46"/>
        <v>44</v>
      </c>
      <c r="F152" s="314">
        <f t="shared" si="46"/>
        <v>2</v>
      </c>
      <c r="G152" s="332">
        <f t="shared" si="46"/>
        <v>1.06</v>
      </c>
      <c r="H152" s="314">
        <f t="shared" si="46"/>
        <v>-0.94</v>
      </c>
      <c r="I152" s="312">
        <f t="shared" si="46"/>
        <v>0.53</v>
      </c>
      <c r="J152" s="314">
        <f t="shared" si="46"/>
        <v>-42.94</v>
      </c>
      <c r="K152" s="312">
        <f t="shared" si="46"/>
        <v>0.024090909090909093</v>
      </c>
      <c r="L152" s="30">
        <f t="shared" si="46"/>
        <v>0</v>
      </c>
      <c r="M152" s="30">
        <f t="shared" si="46"/>
        <v>0</v>
      </c>
      <c r="N152" s="30">
        <f t="shared" si="46"/>
        <v>0</v>
      </c>
      <c r="O152" s="314">
        <f t="shared" si="46"/>
        <v>41.44</v>
      </c>
      <c r="P152" s="314">
        <f t="shared" si="46"/>
        <v>2.5600000000000023</v>
      </c>
      <c r="Q152" s="312">
        <f t="shared" si="46"/>
        <v>1.0617760617760619</v>
      </c>
      <c r="R152" s="314">
        <f t="shared" si="46"/>
        <v>0</v>
      </c>
      <c r="S152" s="333">
        <f t="shared" si="46"/>
        <v>1.06</v>
      </c>
      <c r="T152" s="312" t="e">
        <f t="shared" si="46"/>
        <v>#DIV/0!</v>
      </c>
      <c r="U152" s="305"/>
      <c r="V152" s="305"/>
      <c r="W152" s="305"/>
      <c r="X152" s="305"/>
      <c r="Y152" s="264" t="e">
        <f t="shared" si="47"/>
        <v>#DIV/0!</v>
      </c>
    </row>
    <row r="153" spans="2:25" ht="15" hidden="1">
      <c r="B153" s="219" t="s">
        <v>131</v>
      </c>
      <c r="C153" s="337">
        <v>22010000</v>
      </c>
      <c r="D153" s="337"/>
      <c r="E153" s="307">
        <f>E148+E149+E150+E151+E152</f>
        <v>23355</v>
      </c>
      <c r="F153" s="307">
        <f>F148+F149+F150+F151+F152</f>
        <v>3547</v>
      </c>
      <c r="G153" s="308">
        <f>G148+G149+G150+G151+G152</f>
        <v>2533.69</v>
      </c>
      <c r="H153" s="307">
        <f>G153-F153</f>
        <v>-1013.31</v>
      </c>
      <c r="I153" s="241">
        <f>G153/F153</f>
        <v>0.7143191429376938</v>
      </c>
      <c r="J153" s="307">
        <f>G153-E153</f>
        <v>-20821.31</v>
      </c>
      <c r="K153" s="241">
        <f>G153/E153</f>
        <v>0.10848597730678655</v>
      </c>
      <c r="L153" s="82"/>
      <c r="M153" s="82"/>
      <c r="N153" s="82"/>
      <c r="O153" s="307">
        <f>O148+O149+O150+O151+O152</f>
        <v>22090.14</v>
      </c>
      <c r="P153" s="307">
        <f>E153-O153</f>
        <v>1264.8600000000006</v>
      </c>
      <c r="Q153" s="241">
        <f>E153/O153</f>
        <v>1.0572590304995804</v>
      </c>
      <c r="R153" s="307">
        <f>R148+R149+R150+R151+R152</f>
        <v>2426.5499999999997</v>
      </c>
      <c r="S153" s="307">
        <f>G153-R153</f>
        <v>107.14000000000033</v>
      </c>
      <c r="T153" s="241">
        <f>G153/R153</f>
        <v>1.04415322165214</v>
      </c>
      <c r="U153" s="304"/>
      <c r="V153" s="304"/>
      <c r="W153" s="304"/>
      <c r="X153" s="304"/>
      <c r="Y153" s="267">
        <f t="shared" si="47"/>
        <v>-0.013105808847440281</v>
      </c>
    </row>
    <row r="154" spans="21:25" ht="15" hidden="1">
      <c r="U154" s="304"/>
      <c r="V154" s="304"/>
      <c r="W154" s="304"/>
      <c r="X154" s="304"/>
      <c r="Y154" s="264"/>
    </row>
    <row r="155" spans="21:25" ht="15" hidden="1">
      <c r="U155" s="304"/>
      <c r="V155" s="304"/>
      <c r="W155" s="304"/>
      <c r="X155" s="304"/>
      <c r="Y155" s="264"/>
    </row>
    <row r="156" spans="2:25" ht="15" hidden="1">
      <c r="B156" s="219" t="s">
        <v>144</v>
      </c>
      <c r="U156" s="304"/>
      <c r="V156" s="304"/>
      <c r="W156" s="304"/>
      <c r="X156" s="304"/>
      <c r="Y156" s="264"/>
    </row>
    <row r="157" spans="1:25" s="6" customFormat="1" ht="15.75" customHeight="1" hidden="1">
      <c r="A157" s="8"/>
      <c r="B157" s="258" t="str">
        <f>B72</f>
        <v>Інші надходження</v>
      </c>
      <c r="C157" s="297" t="str">
        <f>C72</f>
        <v>24060300</v>
      </c>
      <c r="D157" s="297"/>
      <c r="E157" s="328">
        <f aca="true" t="shared" si="48" ref="E157:T157">E72</f>
        <v>8170</v>
      </c>
      <c r="F157" s="328">
        <f t="shared" si="48"/>
        <v>1000</v>
      </c>
      <c r="G157" s="334">
        <f t="shared" si="48"/>
        <v>607.21</v>
      </c>
      <c r="H157" s="328">
        <f t="shared" si="48"/>
        <v>-392.78999999999996</v>
      </c>
      <c r="I157" s="310">
        <f t="shared" si="48"/>
        <v>0.60721</v>
      </c>
      <c r="J157" s="328">
        <f t="shared" si="48"/>
        <v>-7562.79</v>
      </c>
      <c r="K157" s="310">
        <f t="shared" si="48"/>
        <v>0.07432190942472461</v>
      </c>
      <c r="L157" s="296">
        <f t="shared" si="48"/>
        <v>0</v>
      </c>
      <c r="M157" s="296">
        <f t="shared" si="48"/>
        <v>0</v>
      </c>
      <c r="N157" s="296">
        <f t="shared" si="48"/>
        <v>0</v>
      </c>
      <c r="O157" s="328">
        <f t="shared" si="48"/>
        <v>8086.92</v>
      </c>
      <c r="P157" s="328">
        <f t="shared" si="48"/>
        <v>83.07999999999993</v>
      </c>
      <c r="Q157" s="310">
        <f t="shared" si="48"/>
        <v>1.0102733797292418</v>
      </c>
      <c r="R157" s="328">
        <f t="shared" si="48"/>
        <v>2711.43</v>
      </c>
      <c r="S157" s="328">
        <f t="shared" si="48"/>
        <v>-2104.22</v>
      </c>
      <c r="T157" s="310">
        <f t="shared" si="48"/>
        <v>0.22394456061930423</v>
      </c>
      <c r="U157" s="306"/>
      <c r="V157" s="306"/>
      <c r="W157" s="306"/>
      <c r="X157" s="306"/>
      <c r="Y157" s="264">
        <f>T157-Q157</f>
        <v>-0.7863288191099376</v>
      </c>
    </row>
    <row r="158" spans="1:25" s="6" customFormat="1" ht="44.25" customHeight="1" hidden="1">
      <c r="A158" s="8"/>
      <c r="B158" s="258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7">
        <f>C76</f>
        <v>24061900</v>
      </c>
      <c r="D158" s="297"/>
      <c r="E158" s="328">
        <f aca="true" t="shared" si="49" ref="E158:T158">E76</f>
        <v>174.4</v>
      </c>
      <c r="F158" s="328">
        <f t="shared" si="49"/>
        <v>10</v>
      </c>
      <c r="G158" s="334">
        <f t="shared" si="49"/>
        <v>0</v>
      </c>
      <c r="H158" s="328">
        <f t="shared" si="49"/>
        <v>-10</v>
      </c>
      <c r="I158" s="310">
        <f t="shared" si="49"/>
        <v>0</v>
      </c>
      <c r="J158" s="328">
        <f t="shared" si="49"/>
        <v>-174.4</v>
      </c>
      <c r="K158" s="310">
        <f t="shared" si="49"/>
        <v>0</v>
      </c>
      <c r="L158" s="296">
        <f t="shared" si="49"/>
        <v>0</v>
      </c>
      <c r="M158" s="296">
        <f t="shared" si="49"/>
        <v>0</v>
      </c>
      <c r="N158" s="296">
        <f t="shared" si="49"/>
        <v>0</v>
      </c>
      <c r="O158" s="328">
        <f t="shared" si="49"/>
        <v>142.18</v>
      </c>
      <c r="P158" s="328">
        <f t="shared" si="49"/>
        <v>32.22</v>
      </c>
      <c r="Q158" s="310">
        <f t="shared" si="49"/>
        <v>1.2266141510761006</v>
      </c>
      <c r="R158" s="328">
        <f t="shared" si="49"/>
        <v>32.89</v>
      </c>
      <c r="S158" s="328">
        <f t="shared" si="49"/>
        <v>-32.89</v>
      </c>
      <c r="T158" s="310">
        <f t="shared" si="49"/>
        <v>0</v>
      </c>
      <c r="U158" s="306"/>
      <c r="V158" s="306"/>
      <c r="W158" s="306"/>
      <c r="X158" s="306"/>
      <c r="Y158" s="264">
        <f>T158-Q158</f>
        <v>-1.2266141510761006</v>
      </c>
    </row>
    <row r="159" spans="2:25" ht="15" hidden="1">
      <c r="B159" s="219" t="s">
        <v>144</v>
      </c>
      <c r="C159" s="336">
        <v>24060000</v>
      </c>
      <c r="D159" s="341"/>
      <c r="E159" s="307">
        <f>E157+E158</f>
        <v>8344.4</v>
      </c>
      <c r="F159" s="307">
        <f>F157+F158</f>
        <v>1010</v>
      </c>
      <c r="G159" s="308">
        <f>G157+G158</f>
        <v>607.21</v>
      </c>
      <c r="H159" s="309">
        <f>G159-F159</f>
        <v>-402.78999999999996</v>
      </c>
      <c r="I159" s="241">
        <f>G159/F159</f>
        <v>0.6011980198019803</v>
      </c>
      <c r="J159" s="307">
        <f>G159-E159</f>
        <v>-7737.19</v>
      </c>
      <c r="K159" s="241">
        <f>G159/E159</f>
        <v>0.07276856334787403</v>
      </c>
      <c r="L159" s="82"/>
      <c r="M159" s="82"/>
      <c r="N159" s="82"/>
      <c r="O159" s="307">
        <f>O157+O158</f>
        <v>8229.1</v>
      </c>
      <c r="P159" s="307">
        <f>E159-O159</f>
        <v>115.29999999999927</v>
      </c>
      <c r="Q159" s="241">
        <f>E159/O159</f>
        <v>1.0140112527493892</v>
      </c>
      <c r="R159" s="307">
        <f>R157+R158</f>
        <v>2744.3199999999997</v>
      </c>
      <c r="S159" s="307">
        <f>G159-R159</f>
        <v>-2137.1099999999997</v>
      </c>
      <c r="T159" s="241">
        <f>G159/R159</f>
        <v>0.22126064015858213</v>
      </c>
      <c r="U159" s="304"/>
      <c r="V159" s="304"/>
      <c r="W159" s="304"/>
      <c r="X159" s="304"/>
      <c r="Y159" s="267">
        <f>T159-Q159</f>
        <v>-0.792750612590807</v>
      </c>
    </row>
    <row r="160" spans="21:24" ht="15" hidden="1">
      <c r="U160" s="304"/>
      <c r="V160" s="304"/>
      <c r="W160" s="304"/>
      <c r="X160" s="304"/>
    </row>
    <row r="161" spans="21:24" ht="15" hidden="1">
      <c r="U161" s="304"/>
      <c r="V161" s="304"/>
      <c r="W161" s="304"/>
      <c r="X161" s="304"/>
    </row>
    <row r="162" spans="21:24" ht="15" hidden="1">
      <c r="U162" s="304"/>
      <c r="V162" s="304"/>
      <c r="W162" s="304"/>
      <c r="X162" s="304"/>
    </row>
    <row r="163" spans="21:24" ht="15" hidden="1">
      <c r="U163" s="304"/>
      <c r="V163" s="304"/>
      <c r="W163" s="304"/>
      <c r="X163" s="304"/>
    </row>
    <row r="164" spans="21:24" ht="15" hidden="1">
      <c r="U164" s="304"/>
      <c r="V164" s="304"/>
      <c r="W164" s="304"/>
      <c r="X164" s="304"/>
    </row>
    <row r="165" spans="21:24" ht="15" hidden="1">
      <c r="U165" s="304"/>
      <c r="V165" s="304"/>
      <c r="W165" s="304"/>
      <c r="X165" s="304"/>
    </row>
    <row r="166" spans="21:24" ht="15">
      <c r="U166" s="304"/>
      <c r="V166" s="304"/>
      <c r="W166" s="304"/>
      <c r="X166" s="304"/>
    </row>
    <row r="167" spans="21:24" ht="15">
      <c r="U167" s="304"/>
      <c r="V167" s="304"/>
      <c r="W167" s="304"/>
      <c r="X167" s="304"/>
    </row>
    <row r="168" spans="21:24" ht="15">
      <c r="U168" s="304"/>
      <c r="V168" s="304"/>
      <c r="W168" s="304"/>
      <c r="X168" s="304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31496062992125984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8"/>
  <sheetViews>
    <sheetView zoomScale="69" zoomScaleNormal="69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0" sqref="B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4.50390625" style="4" customWidth="1"/>
    <col min="5" max="5" width="14.00390625" style="4" customWidth="1"/>
    <col min="6" max="6" width="13.875" style="94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9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6" hidden="1" customWidth="1"/>
    <col min="25" max="16384" width="9.125" style="4" customWidth="1"/>
  </cols>
  <sheetData>
    <row r="1" spans="1:24" s="1" customFormat="1" ht="26.25" customHeight="1">
      <c r="A1" s="394" t="s">
        <v>158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236"/>
    </row>
    <row r="2" spans="2:24" s="1" customFormat="1" ht="15.75" customHeight="1">
      <c r="B2" s="395"/>
      <c r="C2" s="395"/>
      <c r="D2" s="395"/>
      <c r="E2" s="2"/>
      <c r="F2" s="93"/>
      <c r="G2" s="2"/>
      <c r="H2" s="2"/>
      <c r="J2" s="1" t="s">
        <v>24</v>
      </c>
      <c r="P2" s="239"/>
      <c r="S2" s="1" t="s">
        <v>24</v>
      </c>
      <c r="W2" s="16" t="s">
        <v>24</v>
      </c>
      <c r="X2" s="236"/>
    </row>
    <row r="3" spans="1:24" s="3" customFormat="1" ht="13.5" customHeight="1">
      <c r="A3" s="396"/>
      <c r="B3" s="398"/>
      <c r="C3" s="399" t="s">
        <v>0</v>
      </c>
      <c r="D3" s="368" t="s">
        <v>146</v>
      </c>
      <c r="E3" s="29"/>
      <c r="F3" s="400" t="s">
        <v>26</v>
      </c>
      <c r="G3" s="401"/>
      <c r="H3" s="401"/>
      <c r="I3" s="401"/>
      <c r="J3" s="402"/>
      <c r="K3" s="78" t="s">
        <v>128</v>
      </c>
      <c r="L3" s="78"/>
      <c r="M3" s="78"/>
      <c r="N3" s="78" t="s">
        <v>128</v>
      </c>
      <c r="O3" s="78"/>
      <c r="P3" s="240"/>
      <c r="Q3" s="78"/>
      <c r="R3" s="78"/>
      <c r="S3" s="78"/>
      <c r="T3" s="403" t="s">
        <v>152</v>
      </c>
      <c r="U3" s="404" t="s">
        <v>151</v>
      </c>
      <c r="V3" s="404"/>
      <c r="W3" s="404"/>
      <c r="X3" s="260"/>
    </row>
    <row r="4" spans="1:23" ht="22.5" customHeight="1">
      <c r="A4" s="396"/>
      <c r="B4" s="398"/>
      <c r="C4" s="399"/>
      <c r="D4" s="368"/>
      <c r="E4" s="405" t="s">
        <v>153</v>
      </c>
      <c r="F4" s="388" t="s">
        <v>31</v>
      </c>
      <c r="G4" s="377" t="s">
        <v>147</v>
      </c>
      <c r="H4" s="390" t="s">
        <v>148</v>
      </c>
      <c r="I4" s="377" t="s">
        <v>149</v>
      </c>
      <c r="J4" s="390" t="s">
        <v>150</v>
      </c>
      <c r="K4" s="80" t="s">
        <v>129</v>
      </c>
      <c r="L4" s="167" t="s">
        <v>105</v>
      </c>
      <c r="M4" s="82" t="s">
        <v>61</v>
      </c>
      <c r="N4" s="80" t="s">
        <v>155</v>
      </c>
      <c r="O4" s="167" t="s">
        <v>105</v>
      </c>
      <c r="P4" s="241" t="s">
        <v>61</v>
      </c>
      <c r="Q4" s="80" t="s">
        <v>155</v>
      </c>
      <c r="R4" s="167" t="s">
        <v>105</v>
      </c>
      <c r="S4" s="82" t="s">
        <v>61</v>
      </c>
      <c r="T4" s="390"/>
      <c r="U4" s="392" t="s">
        <v>157</v>
      </c>
      <c r="V4" s="377" t="s">
        <v>47</v>
      </c>
      <c r="W4" s="379" t="s">
        <v>46</v>
      </c>
    </row>
    <row r="5" spans="1:23" ht="67.5" customHeight="1">
      <c r="A5" s="397"/>
      <c r="B5" s="398"/>
      <c r="C5" s="399"/>
      <c r="D5" s="368"/>
      <c r="E5" s="406"/>
      <c r="F5" s="389"/>
      <c r="G5" s="378"/>
      <c r="H5" s="391"/>
      <c r="I5" s="378"/>
      <c r="J5" s="391"/>
      <c r="K5" s="380" t="s">
        <v>130</v>
      </c>
      <c r="L5" s="381"/>
      <c r="M5" s="382"/>
      <c r="N5" s="383" t="s">
        <v>154</v>
      </c>
      <c r="O5" s="384"/>
      <c r="P5" s="385"/>
      <c r="Q5" s="386" t="s">
        <v>156</v>
      </c>
      <c r="R5" s="386"/>
      <c r="S5" s="386"/>
      <c r="T5" s="391"/>
      <c r="U5" s="393"/>
      <c r="V5" s="378"/>
      <c r="W5" s="379"/>
    </row>
    <row r="6" spans="1:23" ht="15.75" customHeight="1">
      <c r="A6" s="5" t="s">
        <v>1</v>
      </c>
      <c r="B6" s="10" t="s">
        <v>2</v>
      </c>
      <c r="C6" s="55" t="s">
        <v>3</v>
      </c>
      <c r="D6" s="10" t="s">
        <v>4</v>
      </c>
      <c r="E6" s="10" t="s">
        <v>5</v>
      </c>
      <c r="F6" s="113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2"/>
      <c r="Q6" s="10" t="s">
        <v>25</v>
      </c>
      <c r="R6" s="10"/>
      <c r="S6" s="10" t="s">
        <v>63</v>
      </c>
      <c r="T6" s="10" t="s">
        <v>64</v>
      </c>
      <c r="U6" s="118" t="s">
        <v>65</v>
      </c>
      <c r="V6" s="10" t="s">
        <v>66</v>
      </c>
      <c r="W6" s="10" t="s">
        <v>67</v>
      </c>
    </row>
    <row r="7" spans="1:23" ht="15.75" customHeight="1">
      <c r="A7" s="17"/>
      <c r="B7" s="18" t="s">
        <v>27</v>
      </c>
      <c r="C7" s="55"/>
      <c r="D7" s="10"/>
      <c r="E7" s="10"/>
      <c r="F7" s="113"/>
      <c r="G7" s="10"/>
      <c r="H7" s="10"/>
      <c r="I7" s="10"/>
      <c r="J7" s="10"/>
      <c r="K7" s="10"/>
      <c r="L7" s="10"/>
      <c r="M7" s="10"/>
      <c r="N7" s="10"/>
      <c r="O7" s="10"/>
      <c r="P7" s="242"/>
      <c r="Q7" s="10"/>
      <c r="R7" s="10"/>
      <c r="S7" s="10"/>
      <c r="T7" s="10"/>
      <c r="U7" s="118"/>
      <c r="V7" s="10"/>
      <c r="W7" s="10"/>
    </row>
    <row r="8" spans="1:24" s="6" customFormat="1" ht="17.25">
      <c r="A8" s="7"/>
      <c r="B8" s="126" t="s">
        <v>9</v>
      </c>
      <c r="C8" s="65" t="s">
        <v>10</v>
      </c>
      <c r="D8" s="124">
        <f>D9+D15+D18+D19+D23+D17</f>
        <v>336754.36</v>
      </c>
      <c r="E8" s="124">
        <f>E9+E15+E18+E19+E23+E17</f>
        <v>108145.45000000001</v>
      </c>
      <c r="F8" s="124">
        <f>F9+F15+F18+F19+F23+F17</f>
        <v>112027.01</v>
      </c>
      <c r="G8" s="124">
        <f>F8-E8</f>
        <v>3881.559999999983</v>
      </c>
      <c r="H8" s="278">
        <f aca="true" t="shared" si="0" ref="H8:H15">F8/E8</f>
        <v>1.0358920324433436</v>
      </c>
      <c r="I8" s="125">
        <f aca="true" t="shared" si="1" ref="I8:I52">F8-D8</f>
        <v>-224727.34999999998</v>
      </c>
      <c r="J8" s="181">
        <f aca="true" t="shared" si="2" ref="J8:J14">F8/D8</f>
        <v>0.3326668435710825</v>
      </c>
      <c r="K8" s="125"/>
      <c r="L8" s="125"/>
      <c r="M8" s="125"/>
      <c r="N8" s="125">
        <v>1329586.12</v>
      </c>
      <c r="O8" s="125">
        <f aca="true" t="shared" si="3" ref="O8:O22">D8-N8</f>
        <v>-992831.7600000001</v>
      </c>
      <c r="P8" s="181">
        <f aca="true" t="shared" si="4" ref="P8:P22">D8/N8</f>
        <v>0.2532775838544403</v>
      </c>
      <c r="Q8" s="124">
        <v>93856.96</v>
      </c>
      <c r="R8" s="124">
        <f aca="true" t="shared" si="5" ref="R8:R78">F8-Q8</f>
        <v>18170.04999999999</v>
      </c>
      <c r="S8" s="168">
        <f aca="true" t="shared" si="6" ref="S8:S20">F8/Q8</f>
        <v>1.1935929951279052</v>
      </c>
      <c r="T8" s="124">
        <f>T9+T15+T18+T19+T23+T17</f>
        <v>108145.45000000001</v>
      </c>
      <c r="U8" s="124">
        <f>U9+U15+U18+U19+U23+U17</f>
        <v>112027.01</v>
      </c>
      <c r="V8" s="124">
        <f>U8-T8</f>
        <v>3881.559999999983</v>
      </c>
      <c r="W8" s="168">
        <f aca="true" t="shared" si="7" ref="W8:W15">U8/T8</f>
        <v>1.0358920324433436</v>
      </c>
      <c r="X8" s="266">
        <f aca="true" t="shared" si="8" ref="X8:X22">S8-P8</f>
        <v>0.9403154112734649</v>
      </c>
    </row>
    <row r="9" spans="1:24" s="6" customFormat="1" ht="18">
      <c r="A9" s="8"/>
      <c r="B9" s="108" t="s">
        <v>74</v>
      </c>
      <c r="C9" s="38">
        <v>11010000</v>
      </c>
      <c r="D9" s="123">
        <v>204937.06</v>
      </c>
      <c r="E9" s="123">
        <v>62342.35</v>
      </c>
      <c r="F9" s="127">
        <v>63829.29</v>
      </c>
      <c r="G9" s="123">
        <f>F9-E9</f>
        <v>1486.9400000000023</v>
      </c>
      <c r="H9" s="276">
        <f t="shared" si="0"/>
        <v>1.0238512022726125</v>
      </c>
      <c r="I9" s="129">
        <f t="shared" si="1"/>
        <v>-141107.77</v>
      </c>
      <c r="J9" s="173">
        <f t="shared" si="2"/>
        <v>0.3114580154511829</v>
      </c>
      <c r="K9" s="129"/>
      <c r="L9" s="129"/>
      <c r="M9" s="129"/>
      <c r="N9" s="129">
        <v>775821.8</v>
      </c>
      <c r="O9" s="129">
        <f t="shared" si="3"/>
        <v>-570884.74</v>
      </c>
      <c r="P9" s="173">
        <f t="shared" si="4"/>
        <v>0.2641548097771937</v>
      </c>
      <c r="Q9" s="187">
        <v>46924.93</v>
      </c>
      <c r="R9" s="130">
        <f t="shared" si="5"/>
        <v>16904.36</v>
      </c>
      <c r="S9" s="169">
        <f t="shared" si="6"/>
        <v>1.3602426258281046</v>
      </c>
      <c r="T9" s="128">
        <f>E9-0</f>
        <v>62342.35</v>
      </c>
      <c r="U9" s="131">
        <f>F9-0</f>
        <v>63829.29</v>
      </c>
      <c r="V9" s="132">
        <f>U9-T9</f>
        <v>1486.9400000000023</v>
      </c>
      <c r="W9" s="173">
        <f t="shared" si="7"/>
        <v>1.0238512022726125</v>
      </c>
      <c r="X9" s="267">
        <f t="shared" si="8"/>
        <v>1.0960878160509109</v>
      </c>
    </row>
    <row r="10" spans="1:24" s="6" customFormat="1" ht="15" customHeight="1" hidden="1">
      <c r="A10" s="8"/>
      <c r="B10" s="99" t="s">
        <v>84</v>
      </c>
      <c r="C10" s="86">
        <v>11010100</v>
      </c>
      <c r="D10" s="87">
        <v>187277.06</v>
      </c>
      <c r="E10" s="87">
        <v>57192.35</v>
      </c>
      <c r="F10" s="115">
        <v>58978.69</v>
      </c>
      <c r="G10" s="87">
        <f aca="true" t="shared" si="9" ref="G10:G47">F10-E10</f>
        <v>1786.3400000000038</v>
      </c>
      <c r="H10" s="277">
        <f t="shared" si="0"/>
        <v>1.0312338975404929</v>
      </c>
      <c r="I10" s="88">
        <f t="shared" si="1"/>
        <v>-128298.37</v>
      </c>
      <c r="J10" s="91">
        <f t="shared" si="2"/>
        <v>0.3149274662897848</v>
      </c>
      <c r="K10" s="88"/>
      <c r="L10" s="88"/>
      <c r="M10" s="88"/>
      <c r="N10" s="88">
        <v>709899.75</v>
      </c>
      <c r="O10" s="88">
        <f t="shared" si="3"/>
        <v>-522622.69</v>
      </c>
      <c r="P10" s="91">
        <f t="shared" si="4"/>
        <v>0.2638077559542738</v>
      </c>
      <c r="Q10" s="90">
        <v>43142.93</v>
      </c>
      <c r="R10" s="90">
        <f t="shared" si="5"/>
        <v>15835.760000000002</v>
      </c>
      <c r="S10" s="170">
        <f t="shared" si="6"/>
        <v>1.367053419876675</v>
      </c>
      <c r="T10" s="89">
        <f aca="true" t="shared" si="10" ref="T10:T52">E10</f>
        <v>57192.35</v>
      </c>
      <c r="U10" s="119">
        <f aca="true" t="shared" si="11" ref="U10:U52">F10</f>
        <v>58978.69</v>
      </c>
      <c r="V10" s="90">
        <f aca="true" t="shared" si="12" ref="V10:V52">U10-T10</f>
        <v>1786.3400000000038</v>
      </c>
      <c r="W10" s="91">
        <f t="shared" si="7"/>
        <v>1.0312338975404929</v>
      </c>
      <c r="X10" s="265">
        <f t="shared" si="8"/>
        <v>1.1032456639224013</v>
      </c>
    </row>
    <row r="11" spans="1:24" s="6" customFormat="1" ht="15" customHeight="1" hidden="1">
      <c r="A11" s="8"/>
      <c r="B11" s="99" t="s">
        <v>80</v>
      </c>
      <c r="C11" s="86">
        <v>11010200</v>
      </c>
      <c r="D11" s="87">
        <v>12800</v>
      </c>
      <c r="E11" s="87">
        <v>4000</v>
      </c>
      <c r="F11" s="115">
        <v>3484.7</v>
      </c>
      <c r="G11" s="87">
        <f t="shared" si="9"/>
        <v>-515.3000000000002</v>
      </c>
      <c r="H11" s="277">
        <f t="shared" si="0"/>
        <v>0.8711749999999999</v>
      </c>
      <c r="I11" s="88">
        <f t="shared" si="1"/>
        <v>-9315.3</v>
      </c>
      <c r="J11" s="91">
        <f t="shared" si="2"/>
        <v>0.2722421875</v>
      </c>
      <c r="K11" s="88"/>
      <c r="L11" s="88"/>
      <c r="M11" s="88"/>
      <c r="N11" s="88">
        <v>42516.41</v>
      </c>
      <c r="O11" s="88">
        <f t="shared" si="3"/>
        <v>-29716.410000000003</v>
      </c>
      <c r="P11" s="91">
        <f t="shared" si="4"/>
        <v>0.3010602259221792</v>
      </c>
      <c r="Q11" s="90">
        <v>2681.7</v>
      </c>
      <c r="R11" s="90">
        <f t="shared" si="5"/>
        <v>803</v>
      </c>
      <c r="S11" s="170">
        <f t="shared" si="6"/>
        <v>1.2994369243390387</v>
      </c>
      <c r="T11" s="89">
        <f t="shared" si="10"/>
        <v>4000</v>
      </c>
      <c r="U11" s="119">
        <f t="shared" si="11"/>
        <v>3484.7</v>
      </c>
      <c r="V11" s="90">
        <f t="shared" si="12"/>
        <v>-515.3000000000002</v>
      </c>
      <c r="W11" s="91">
        <f t="shared" si="7"/>
        <v>0.8711749999999999</v>
      </c>
      <c r="X11" s="265">
        <f t="shared" si="8"/>
        <v>0.9983766984168595</v>
      </c>
    </row>
    <row r="12" spans="1:24" s="6" customFormat="1" ht="15" customHeight="1" hidden="1">
      <c r="A12" s="8"/>
      <c r="B12" s="99" t="s">
        <v>83</v>
      </c>
      <c r="C12" s="86">
        <v>11010400</v>
      </c>
      <c r="D12" s="87">
        <v>2110</v>
      </c>
      <c r="E12" s="87">
        <v>600</v>
      </c>
      <c r="F12" s="115">
        <v>744.39</v>
      </c>
      <c r="G12" s="87">
        <f t="shared" si="9"/>
        <v>144.39</v>
      </c>
      <c r="H12" s="277">
        <f t="shared" si="0"/>
        <v>1.24065</v>
      </c>
      <c r="I12" s="88">
        <f t="shared" si="1"/>
        <v>-1365.6100000000001</v>
      </c>
      <c r="J12" s="91">
        <f t="shared" si="2"/>
        <v>0.3527914691943128</v>
      </c>
      <c r="K12" s="88"/>
      <c r="L12" s="88"/>
      <c r="M12" s="88"/>
      <c r="N12" s="88">
        <v>11992.15</v>
      </c>
      <c r="O12" s="88">
        <f t="shared" si="3"/>
        <v>-9882.15</v>
      </c>
      <c r="P12" s="91">
        <f t="shared" si="4"/>
        <v>0.17594843293321047</v>
      </c>
      <c r="Q12" s="90">
        <v>500.43</v>
      </c>
      <c r="R12" s="90">
        <f t="shared" si="5"/>
        <v>243.95999999999998</v>
      </c>
      <c r="S12" s="170">
        <f t="shared" si="6"/>
        <v>1.487500749355554</v>
      </c>
      <c r="T12" s="89">
        <f t="shared" si="10"/>
        <v>600</v>
      </c>
      <c r="U12" s="119">
        <f t="shared" si="11"/>
        <v>744.39</v>
      </c>
      <c r="V12" s="90">
        <f t="shared" si="12"/>
        <v>144.39</v>
      </c>
      <c r="W12" s="91">
        <f t="shared" si="7"/>
        <v>1.24065</v>
      </c>
      <c r="X12" s="265">
        <f t="shared" si="8"/>
        <v>1.3115523164223437</v>
      </c>
    </row>
    <row r="13" spans="1:24" s="6" customFormat="1" ht="15" customHeight="1" hidden="1">
      <c r="A13" s="8"/>
      <c r="B13" s="99" t="s">
        <v>81</v>
      </c>
      <c r="C13" s="86">
        <v>11010500</v>
      </c>
      <c r="D13" s="87">
        <v>2600</v>
      </c>
      <c r="E13" s="87">
        <v>500</v>
      </c>
      <c r="F13" s="115">
        <v>475.87</v>
      </c>
      <c r="G13" s="87">
        <f t="shared" si="9"/>
        <v>-24.129999999999995</v>
      </c>
      <c r="H13" s="277">
        <f t="shared" si="0"/>
        <v>0.95174</v>
      </c>
      <c r="I13" s="88">
        <f t="shared" si="1"/>
        <v>-2124.13</v>
      </c>
      <c r="J13" s="91">
        <f t="shared" si="2"/>
        <v>0.1830269230769231</v>
      </c>
      <c r="K13" s="88"/>
      <c r="L13" s="88"/>
      <c r="M13" s="88"/>
      <c r="N13" s="88">
        <v>10036.81</v>
      </c>
      <c r="O13" s="88">
        <f t="shared" si="3"/>
        <v>-7436.8099999999995</v>
      </c>
      <c r="P13" s="91">
        <f t="shared" si="4"/>
        <v>0.25904645001748566</v>
      </c>
      <c r="Q13" s="90">
        <v>499.36</v>
      </c>
      <c r="R13" s="90">
        <f t="shared" si="5"/>
        <v>-23.49000000000001</v>
      </c>
      <c r="S13" s="170">
        <f t="shared" si="6"/>
        <v>0.9529597885293175</v>
      </c>
      <c r="T13" s="89">
        <f t="shared" si="10"/>
        <v>500</v>
      </c>
      <c r="U13" s="119">
        <f t="shared" si="11"/>
        <v>475.87</v>
      </c>
      <c r="V13" s="90">
        <f t="shared" si="12"/>
        <v>-24.129999999999995</v>
      </c>
      <c r="W13" s="91">
        <f t="shared" si="7"/>
        <v>0.95174</v>
      </c>
      <c r="X13" s="265">
        <f t="shared" si="8"/>
        <v>0.6939133385118319</v>
      </c>
    </row>
    <row r="14" spans="1:24" s="6" customFormat="1" ht="15" customHeight="1" hidden="1">
      <c r="A14" s="8"/>
      <c r="B14" s="99" t="s">
        <v>82</v>
      </c>
      <c r="C14" s="86">
        <v>11010900</v>
      </c>
      <c r="D14" s="87">
        <v>150</v>
      </c>
      <c r="E14" s="87">
        <v>50</v>
      </c>
      <c r="F14" s="115">
        <v>145.63</v>
      </c>
      <c r="G14" s="87">
        <f t="shared" si="9"/>
        <v>95.63</v>
      </c>
      <c r="H14" s="277">
        <f t="shared" si="0"/>
        <v>2.9126</v>
      </c>
      <c r="I14" s="88">
        <f t="shared" si="1"/>
        <v>-4.3700000000000045</v>
      </c>
      <c r="J14" s="91">
        <f t="shared" si="2"/>
        <v>0.9708666666666667</v>
      </c>
      <c r="K14" s="88"/>
      <c r="L14" s="88"/>
      <c r="M14" s="88"/>
      <c r="N14" s="88">
        <v>1376.68</v>
      </c>
      <c r="O14" s="88">
        <f t="shared" si="3"/>
        <v>-1226.68</v>
      </c>
      <c r="P14" s="91">
        <f t="shared" si="4"/>
        <v>0.10895778249121073</v>
      </c>
      <c r="Q14" s="90">
        <v>100.5</v>
      </c>
      <c r="R14" s="90">
        <f t="shared" si="5"/>
        <v>45.129999999999995</v>
      </c>
      <c r="S14" s="170">
        <f t="shared" si="6"/>
        <v>1.4490547263681592</v>
      </c>
      <c r="T14" s="89">
        <f t="shared" si="10"/>
        <v>50</v>
      </c>
      <c r="U14" s="119">
        <f t="shared" si="11"/>
        <v>145.63</v>
      </c>
      <c r="V14" s="90">
        <f t="shared" si="12"/>
        <v>95.63</v>
      </c>
      <c r="W14" s="91">
        <f t="shared" si="7"/>
        <v>2.9126</v>
      </c>
      <c r="X14" s="265">
        <f t="shared" si="8"/>
        <v>1.3400969438769486</v>
      </c>
    </row>
    <row r="15" spans="1:24" s="6" customFormat="1" ht="30.75">
      <c r="A15" s="8"/>
      <c r="B15" s="109" t="s">
        <v>11</v>
      </c>
      <c r="C15" s="38">
        <v>11020200</v>
      </c>
      <c r="D15" s="123">
        <v>14</v>
      </c>
      <c r="E15" s="123">
        <v>0</v>
      </c>
      <c r="F15" s="127">
        <v>0</v>
      </c>
      <c r="G15" s="123">
        <f t="shared" si="9"/>
        <v>0</v>
      </c>
      <c r="H15" s="276" t="e">
        <f t="shared" si="0"/>
        <v>#DIV/0!</v>
      </c>
      <c r="I15" s="129">
        <f t="shared" si="1"/>
        <v>-14</v>
      </c>
      <c r="J15" s="129">
        <f aca="true" t="shared" si="13" ref="J15:J23">F15/D15*100</f>
        <v>0</v>
      </c>
      <c r="K15" s="129"/>
      <c r="L15" s="129"/>
      <c r="M15" s="129"/>
      <c r="N15" s="129">
        <v>887.61</v>
      </c>
      <c r="O15" s="129">
        <f t="shared" si="3"/>
        <v>-873.61</v>
      </c>
      <c r="P15" s="173">
        <f t="shared" si="4"/>
        <v>0.015772692961999076</v>
      </c>
      <c r="Q15" s="132">
        <v>0</v>
      </c>
      <c r="R15" s="132">
        <f t="shared" si="5"/>
        <v>0</v>
      </c>
      <c r="S15" s="171" t="e">
        <f t="shared" si="6"/>
        <v>#DIV/0!</v>
      </c>
      <c r="T15" s="128">
        <f t="shared" si="10"/>
        <v>0</v>
      </c>
      <c r="U15" s="131">
        <f t="shared" si="11"/>
        <v>0</v>
      </c>
      <c r="V15" s="132">
        <f t="shared" si="12"/>
        <v>0</v>
      </c>
      <c r="W15" s="173" t="e">
        <f t="shared" si="7"/>
        <v>#DIV/0!</v>
      </c>
      <c r="X15" s="264" t="e">
        <f t="shared" si="8"/>
        <v>#DIV/0!</v>
      </c>
    </row>
    <row r="16" spans="1:24" s="6" customFormat="1" ht="18" customHeight="1" hidden="1">
      <c r="A16" s="8"/>
      <c r="B16" s="262" t="s">
        <v>62</v>
      </c>
      <c r="C16" s="86">
        <v>11010232</v>
      </c>
      <c r="D16" s="87">
        <v>0</v>
      </c>
      <c r="E16" s="123">
        <f>D16</f>
        <v>0</v>
      </c>
      <c r="F16" s="115">
        <v>0</v>
      </c>
      <c r="G16" s="123">
        <f t="shared" si="9"/>
        <v>0</v>
      </c>
      <c r="H16" s="276" t="e">
        <f>F16/E16/100</f>
        <v>#DIV/0!</v>
      </c>
      <c r="I16" s="129">
        <f t="shared" si="1"/>
        <v>0</v>
      </c>
      <c r="J16" s="129" t="e">
        <f t="shared" si="13"/>
        <v>#DIV/0!</v>
      </c>
      <c r="K16" s="129"/>
      <c r="L16" s="129"/>
      <c r="M16" s="129"/>
      <c r="N16" s="129"/>
      <c r="O16" s="129">
        <f t="shared" si="3"/>
        <v>0</v>
      </c>
      <c r="P16" s="173" t="e">
        <f t="shared" si="4"/>
        <v>#DIV/0!</v>
      </c>
      <c r="Q16" s="132">
        <f>N16</f>
        <v>0</v>
      </c>
      <c r="R16" s="132">
        <f t="shared" si="5"/>
        <v>0</v>
      </c>
      <c r="S16" s="171" t="e">
        <f t="shared" si="6"/>
        <v>#DIV/0!</v>
      </c>
      <c r="T16" s="128">
        <f t="shared" si="10"/>
        <v>0</v>
      </c>
      <c r="U16" s="131">
        <f t="shared" si="11"/>
        <v>0</v>
      </c>
      <c r="V16" s="132">
        <f t="shared" si="12"/>
        <v>0</v>
      </c>
      <c r="W16" s="173" t="e">
        <f>U16/T16*100</f>
        <v>#DIV/0!</v>
      </c>
      <c r="X16" s="264" t="e">
        <f t="shared" si="8"/>
        <v>#DIV/0!</v>
      </c>
    </row>
    <row r="17" spans="1:24" s="6" customFormat="1" ht="30.75" customHeight="1">
      <c r="A17" s="8"/>
      <c r="B17" s="185" t="s">
        <v>107</v>
      </c>
      <c r="C17" s="98">
        <v>13010200</v>
      </c>
      <c r="D17" s="133">
        <v>0</v>
      </c>
      <c r="E17" s="123">
        <f>D17</f>
        <v>0</v>
      </c>
      <c r="F17" s="134">
        <v>0</v>
      </c>
      <c r="G17" s="123">
        <f t="shared" si="9"/>
        <v>0</v>
      </c>
      <c r="H17" s="276"/>
      <c r="I17" s="129">
        <f t="shared" si="1"/>
        <v>0</v>
      </c>
      <c r="J17" s="129"/>
      <c r="K17" s="129"/>
      <c r="L17" s="129"/>
      <c r="M17" s="129"/>
      <c r="N17" s="129">
        <v>0.49</v>
      </c>
      <c r="O17" s="129">
        <f t="shared" si="3"/>
        <v>-0.49</v>
      </c>
      <c r="P17" s="173">
        <f t="shared" si="4"/>
        <v>0</v>
      </c>
      <c r="Q17" s="132">
        <v>0</v>
      </c>
      <c r="R17" s="132">
        <f t="shared" si="5"/>
        <v>0</v>
      </c>
      <c r="S17" s="171" t="e">
        <f t="shared" si="6"/>
        <v>#DIV/0!</v>
      </c>
      <c r="T17" s="128">
        <f t="shared" si="10"/>
        <v>0</v>
      </c>
      <c r="U17" s="131">
        <f t="shared" si="11"/>
        <v>0</v>
      </c>
      <c r="V17" s="132">
        <f t="shared" si="12"/>
        <v>0</v>
      </c>
      <c r="W17" s="173"/>
      <c r="X17" s="264" t="e">
        <f t="shared" si="8"/>
        <v>#DIV/0!</v>
      </c>
    </row>
    <row r="18" spans="1:24" s="6" customFormat="1" ht="30.75">
      <c r="A18" s="8"/>
      <c r="B18" s="108" t="s">
        <v>108</v>
      </c>
      <c r="C18" s="98">
        <v>13030200</v>
      </c>
      <c r="D18" s="123">
        <v>110</v>
      </c>
      <c r="E18" s="123">
        <v>0</v>
      </c>
      <c r="F18" s="127">
        <v>0</v>
      </c>
      <c r="G18" s="123">
        <f t="shared" si="9"/>
        <v>0</v>
      </c>
      <c r="H18" s="276" t="e">
        <f aca="true" t="shared" si="14" ref="H18:H41">F18/E18</f>
        <v>#DIV/0!</v>
      </c>
      <c r="I18" s="129">
        <f t="shared" si="1"/>
        <v>-110</v>
      </c>
      <c r="J18" s="129">
        <f t="shared" si="13"/>
        <v>0</v>
      </c>
      <c r="K18" s="129"/>
      <c r="L18" s="129"/>
      <c r="M18" s="129"/>
      <c r="N18" s="129">
        <v>220.59</v>
      </c>
      <c r="O18" s="129">
        <f t="shared" si="3"/>
        <v>-110.59</v>
      </c>
      <c r="P18" s="173">
        <f t="shared" si="4"/>
        <v>0.4986626773652477</v>
      </c>
      <c r="Q18" s="132">
        <v>0</v>
      </c>
      <c r="R18" s="132">
        <f t="shared" si="5"/>
        <v>0</v>
      </c>
      <c r="S18" s="171" t="e">
        <f t="shared" si="6"/>
        <v>#DIV/0!</v>
      </c>
      <c r="T18" s="128">
        <f t="shared" si="10"/>
        <v>0</v>
      </c>
      <c r="U18" s="131">
        <f t="shared" si="11"/>
        <v>0</v>
      </c>
      <c r="V18" s="132">
        <f t="shared" si="12"/>
        <v>0</v>
      </c>
      <c r="W18" s="173" t="e">
        <f aca="true" t="shared" si="15" ref="W18:W25">U18/T18</f>
        <v>#DIV/0!</v>
      </c>
      <c r="X18" s="264" t="e">
        <f t="shared" si="8"/>
        <v>#DIV/0!</v>
      </c>
    </row>
    <row r="19" spans="1:24" s="6" customFormat="1" ht="18">
      <c r="A19" s="8"/>
      <c r="B19" s="108" t="s">
        <v>120</v>
      </c>
      <c r="C19" s="38"/>
      <c r="D19" s="123">
        <v>20300</v>
      </c>
      <c r="E19" s="123">
        <v>4500</v>
      </c>
      <c r="F19" s="184">
        <v>4989.58</v>
      </c>
      <c r="G19" s="123">
        <f t="shared" si="9"/>
        <v>489.5799999999999</v>
      </c>
      <c r="H19" s="276">
        <f t="shared" si="14"/>
        <v>1.1087955555555555</v>
      </c>
      <c r="I19" s="129">
        <f t="shared" si="1"/>
        <v>-15310.42</v>
      </c>
      <c r="J19" s="129">
        <f t="shared" si="13"/>
        <v>24.5792118226601</v>
      </c>
      <c r="K19" s="129"/>
      <c r="L19" s="129"/>
      <c r="M19" s="129"/>
      <c r="N19" s="129">
        <v>121950.14</v>
      </c>
      <c r="O19" s="129">
        <f t="shared" si="3"/>
        <v>-101650.14</v>
      </c>
      <c r="P19" s="173">
        <f t="shared" si="4"/>
        <v>0.16646147351696358</v>
      </c>
      <c r="Q19" s="132">
        <v>9751.75</v>
      </c>
      <c r="R19" s="132">
        <f t="shared" si="5"/>
        <v>-4762.17</v>
      </c>
      <c r="S19" s="171">
        <f t="shared" si="6"/>
        <v>0.5116599584689927</v>
      </c>
      <c r="T19" s="128">
        <f t="shared" si="10"/>
        <v>4500</v>
      </c>
      <c r="U19" s="131">
        <f t="shared" si="11"/>
        <v>4989.58</v>
      </c>
      <c r="V19" s="132">
        <f t="shared" si="12"/>
        <v>489.5799999999999</v>
      </c>
      <c r="W19" s="173">
        <f t="shared" si="15"/>
        <v>1.1087955555555555</v>
      </c>
      <c r="X19" s="264">
        <f t="shared" si="8"/>
        <v>0.3451984849520291</v>
      </c>
    </row>
    <row r="20" spans="1:24" s="6" customFormat="1" ht="61.5">
      <c r="A20" s="8"/>
      <c r="B20" s="203" t="s">
        <v>126</v>
      </c>
      <c r="C20" s="101">
        <v>14040000</v>
      </c>
      <c r="D20" s="204">
        <v>13500</v>
      </c>
      <c r="E20" s="204">
        <v>4500</v>
      </c>
      <c r="F20" s="165">
        <v>4989.58</v>
      </c>
      <c r="G20" s="204">
        <f t="shared" si="9"/>
        <v>489.5799999999999</v>
      </c>
      <c r="H20" s="279">
        <f t="shared" si="14"/>
        <v>1.1087955555555555</v>
      </c>
      <c r="I20" s="205">
        <f t="shared" si="1"/>
        <v>-8510.42</v>
      </c>
      <c r="J20" s="205">
        <f t="shared" si="13"/>
        <v>36.95985185185185</v>
      </c>
      <c r="K20" s="205"/>
      <c r="L20" s="205"/>
      <c r="M20" s="205"/>
      <c r="N20" s="205">
        <v>60736.45</v>
      </c>
      <c r="O20" s="205">
        <f t="shared" si="3"/>
        <v>-47236.45</v>
      </c>
      <c r="P20" s="230">
        <f t="shared" si="4"/>
        <v>0.2222717988950622</v>
      </c>
      <c r="Q20" s="137">
        <v>9751.75</v>
      </c>
      <c r="R20" s="137">
        <f t="shared" si="5"/>
        <v>-4762.17</v>
      </c>
      <c r="S20" s="206">
        <f t="shared" si="6"/>
        <v>0.5116599584689927</v>
      </c>
      <c r="T20" s="160">
        <f t="shared" si="10"/>
        <v>4500</v>
      </c>
      <c r="U20" s="145">
        <f t="shared" si="11"/>
        <v>4989.58</v>
      </c>
      <c r="V20" s="137">
        <f t="shared" si="12"/>
        <v>489.5799999999999</v>
      </c>
      <c r="W20" s="230">
        <f t="shared" si="15"/>
        <v>1.1087955555555555</v>
      </c>
      <c r="X20" s="264">
        <f t="shared" si="8"/>
        <v>0.2893881595739305</v>
      </c>
    </row>
    <row r="21" spans="1:24" s="6" customFormat="1" ht="18">
      <c r="A21" s="8"/>
      <c r="B21" s="203" t="s">
        <v>118</v>
      </c>
      <c r="C21" s="101">
        <v>14021900</v>
      </c>
      <c r="D21" s="204">
        <v>1200</v>
      </c>
      <c r="E21" s="204">
        <v>0</v>
      </c>
      <c r="F21" s="165">
        <v>0</v>
      </c>
      <c r="G21" s="204">
        <f t="shared" si="9"/>
        <v>0</v>
      </c>
      <c r="H21" s="279" t="e">
        <f t="shared" si="14"/>
        <v>#DIV/0!</v>
      </c>
      <c r="I21" s="205">
        <f t="shared" si="1"/>
        <v>-1200</v>
      </c>
      <c r="J21" s="205">
        <f t="shared" si="13"/>
        <v>0</v>
      </c>
      <c r="K21" s="205"/>
      <c r="L21" s="205"/>
      <c r="M21" s="205"/>
      <c r="N21" s="205">
        <v>12528.71</v>
      </c>
      <c r="O21" s="205">
        <f t="shared" si="3"/>
        <v>-11328.71</v>
      </c>
      <c r="P21" s="230">
        <f t="shared" si="4"/>
        <v>0.09578001246736496</v>
      </c>
      <c r="Q21" s="137">
        <v>0</v>
      </c>
      <c r="R21" s="137">
        <f t="shared" si="5"/>
        <v>0</v>
      </c>
      <c r="S21" s="206"/>
      <c r="T21" s="160">
        <f t="shared" si="10"/>
        <v>0</v>
      </c>
      <c r="U21" s="145">
        <f t="shared" si="11"/>
        <v>0</v>
      </c>
      <c r="V21" s="137">
        <f t="shared" si="12"/>
        <v>0</v>
      </c>
      <c r="W21" s="230" t="e">
        <f t="shared" si="15"/>
        <v>#DIV/0!</v>
      </c>
      <c r="X21" s="264">
        <f t="shared" si="8"/>
        <v>-0.09578001246736496</v>
      </c>
    </row>
    <row r="22" spans="1:27" s="6" customFormat="1" ht="18">
      <c r="A22" s="8"/>
      <c r="B22" s="203" t="s">
        <v>119</v>
      </c>
      <c r="C22" s="101">
        <v>14031900</v>
      </c>
      <c r="D22" s="204">
        <v>5600</v>
      </c>
      <c r="E22" s="204">
        <v>0</v>
      </c>
      <c r="F22" s="165">
        <v>0</v>
      </c>
      <c r="G22" s="204">
        <f t="shared" si="9"/>
        <v>0</v>
      </c>
      <c r="H22" s="279" t="e">
        <f t="shared" si="14"/>
        <v>#DIV/0!</v>
      </c>
      <c r="I22" s="205">
        <f t="shared" si="1"/>
        <v>-5600</v>
      </c>
      <c r="J22" s="205">
        <f t="shared" si="13"/>
        <v>0</v>
      </c>
      <c r="K22" s="205"/>
      <c r="L22" s="205"/>
      <c r="M22" s="205"/>
      <c r="N22" s="205">
        <v>48684.98</v>
      </c>
      <c r="O22" s="205">
        <f t="shared" si="3"/>
        <v>-43084.98</v>
      </c>
      <c r="P22" s="230">
        <f t="shared" si="4"/>
        <v>0.11502520900696682</v>
      </c>
      <c r="Q22" s="137">
        <v>0</v>
      </c>
      <c r="R22" s="137">
        <f t="shared" si="5"/>
        <v>0</v>
      </c>
      <c r="S22" s="206"/>
      <c r="T22" s="160">
        <f t="shared" si="10"/>
        <v>0</v>
      </c>
      <c r="U22" s="145">
        <f t="shared" si="11"/>
        <v>0</v>
      </c>
      <c r="V22" s="137">
        <f t="shared" si="12"/>
        <v>0</v>
      </c>
      <c r="W22" s="230" t="e">
        <f t="shared" si="15"/>
        <v>#DIV/0!</v>
      </c>
      <c r="X22" s="264">
        <f t="shared" si="8"/>
        <v>-0.11502520900696682</v>
      </c>
      <c r="AA22" s="122"/>
    </row>
    <row r="23" spans="1:27" s="6" customFormat="1" ht="18">
      <c r="A23" s="8"/>
      <c r="B23" s="263" t="s">
        <v>68</v>
      </c>
      <c r="C23" s="38">
        <v>18000000</v>
      </c>
      <c r="D23" s="123">
        <f>D24+D43+D47+D42</f>
        <v>111393.3</v>
      </c>
      <c r="E23" s="123">
        <f>E24+E43+E47+E42</f>
        <v>41303.1</v>
      </c>
      <c r="F23" s="184">
        <v>43208.14</v>
      </c>
      <c r="G23" s="123">
        <f t="shared" si="9"/>
        <v>1905.0400000000009</v>
      </c>
      <c r="H23" s="276">
        <f t="shared" si="14"/>
        <v>1.046123414465258</v>
      </c>
      <c r="I23" s="129">
        <f t="shared" si="1"/>
        <v>-68185.16</v>
      </c>
      <c r="J23" s="129">
        <f t="shared" si="13"/>
        <v>38.78881404895986</v>
      </c>
      <c r="K23" s="129"/>
      <c r="L23" s="129"/>
      <c r="M23" s="129"/>
      <c r="N23" s="129">
        <v>430705.5</v>
      </c>
      <c r="O23" s="129">
        <f aca="true" t="shared" si="16" ref="O23:O51">D23-N23</f>
        <v>-319312.2</v>
      </c>
      <c r="P23" s="173">
        <f aca="true" t="shared" si="17" ref="P23:P51">D23/N23</f>
        <v>0.2586298526487356</v>
      </c>
      <c r="Q23" s="129">
        <v>37180.29</v>
      </c>
      <c r="R23" s="132">
        <f t="shared" si="5"/>
        <v>6027.8499999999985</v>
      </c>
      <c r="S23" s="172">
        <f aca="true" t="shared" si="18" ref="S23:S41">F23/Q23</f>
        <v>1.1621248785310712</v>
      </c>
      <c r="T23" s="128">
        <f t="shared" si="10"/>
        <v>41303.1</v>
      </c>
      <c r="U23" s="131">
        <f t="shared" si="11"/>
        <v>43208.14</v>
      </c>
      <c r="V23" s="132">
        <f t="shared" si="12"/>
        <v>1905.0400000000009</v>
      </c>
      <c r="W23" s="173">
        <f t="shared" si="15"/>
        <v>1.046123414465258</v>
      </c>
      <c r="X23" s="264">
        <f>S23-P23</f>
        <v>0.9034950258823355</v>
      </c>
      <c r="AA23" s="122"/>
    </row>
    <row r="24" spans="1:27" s="6" customFormat="1" ht="18">
      <c r="A24" s="8"/>
      <c r="B24" s="39" t="s">
        <v>76</v>
      </c>
      <c r="C24" s="95">
        <v>18010000</v>
      </c>
      <c r="D24" s="123">
        <f>D25+D32+D35</f>
        <v>46935</v>
      </c>
      <c r="E24" s="123">
        <f>E25+E32+E35</f>
        <v>17670</v>
      </c>
      <c r="F24" s="184">
        <f>F25+F32+F35</f>
        <v>18152.42</v>
      </c>
      <c r="G24" s="123">
        <f t="shared" si="9"/>
        <v>482.41999999999825</v>
      </c>
      <c r="H24" s="276">
        <f t="shared" si="14"/>
        <v>1.0273016411997735</v>
      </c>
      <c r="I24" s="129">
        <f t="shared" si="1"/>
        <v>-28782.58</v>
      </c>
      <c r="J24" s="173">
        <f aca="true" t="shared" si="19" ref="J24:J41">F24/D24</f>
        <v>0.3867565782465111</v>
      </c>
      <c r="K24" s="129"/>
      <c r="L24" s="129"/>
      <c r="M24" s="129"/>
      <c r="N24" s="129">
        <v>207231.03</v>
      </c>
      <c r="O24" s="129">
        <f t="shared" si="16"/>
        <v>-160296.03</v>
      </c>
      <c r="P24" s="173">
        <f t="shared" si="17"/>
        <v>0.226486351971517</v>
      </c>
      <c r="Q24" s="129">
        <v>16520.28</v>
      </c>
      <c r="R24" s="132">
        <f t="shared" si="5"/>
        <v>1632.1399999999994</v>
      </c>
      <c r="S24" s="172">
        <f t="shared" si="18"/>
        <v>1.0987961463122902</v>
      </c>
      <c r="T24" s="128">
        <f t="shared" si="10"/>
        <v>17670</v>
      </c>
      <c r="U24" s="131">
        <f t="shared" si="11"/>
        <v>18152.42</v>
      </c>
      <c r="V24" s="132">
        <f t="shared" si="12"/>
        <v>482.41999999999825</v>
      </c>
      <c r="W24" s="173">
        <f t="shared" si="15"/>
        <v>1.0273016411997735</v>
      </c>
      <c r="X24" s="264">
        <f aca="true" t="shared" si="20" ref="X24:X99">S24-P24</f>
        <v>0.8723097943407732</v>
      </c>
      <c r="AA24" s="340"/>
    </row>
    <row r="25" spans="1:25" s="6" customFormat="1" ht="18">
      <c r="A25" s="8"/>
      <c r="B25" s="45" t="s">
        <v>69</v>
      </c>
      <c r="C25" s="101"/>
      <c r="D25" s="204">
        <v>6178</v>
      </c>
      <c r="E25" s="269">
        <v>4460</v>
      </c>
      <c r="F25" s="165">
        <v>4641.89</v>
      </c>
      <c r="G25" s="204">
        <f t="shared" si="9"/>
        <v>181.89000000000033</v>
      </c>
      <c r="H25" s="279">
        <f t="shared" si="14"/>
        <v>1.0407825112107625</v>
      </c>
      <c r="I25" s="205">
        <f t="shared" si="1"/>
        <v>-1536.1099999999997</v>
      </c>
      <c r="J25" s="230">
        <f t="shared" si="19"/>
        <v>0.7513580446746521</v>
      </c>
      <c r="K25" s="205"/>
      <c r="L25" s="205"/>
      <c r="M25" s="205"/>
      <c r="N25" s="205">
        <v>25414.16</v>
      </c>
      <c r="O25" s="205">
        <f t="shared" si="16"/>
        <v>-19236.16</v>
      </c>
      <c r="P25" s="230">
        <f t="shared" si="17"/>
        <v>0.24309282699093734</v>
      </c>
      <c r="Q25" s="229">
        <v>3819.61</v>
      </c>
      <c r="R25" s="137">
        <f t="shared" si="5"/>
        <v>822.2800000000002</v>
      </c>
      <c r="S25" s="177">
        <f t="shared" si="18"/>
        <v>1.2152785232000125</v>
      </c>
      <c r="T25" s="128">
        <f t="shared" si="10"/>
        <v>4460</v>
      </c>
      <c r="U25" s="131">
        <f t="shared" si="11"/>
        <v>4641.89</v>
      </c>
      <c r="V25" s="137">
        <f t="shared" si="12"/>
        <v>181.89000000000033</v>
      </c>
      <c r="W25" s="230">
        <f t="shared" si="15"/>
        <v>1.0407825112107625</v>
      </c>
      <c r="X25" s="264">
        <f t="shared" si="20"/>
        <v>0.9721856962090751</v>
      </c>
      <c r="Y25" s="122"/>
    </row>
    <row r="26" spans="1:25" s="6" customFormat="1" ht="18" customHeight="1" hidden="1">
      <c r="A26" s="8"/>
      <c r="B26" s="161" t="s">
        <v>101</v>
      </c>
      <c r="C26" s="162"/>
      <c r="D26" s="163">
        <f>D28+D29</f>
        <v>182</v>
      </c>
      <c r="E26" s="163">
        <f>E28+E29</f>
        <v>140</v>
      </c>
      <c r="F26" s="163">
        <f>F28+F29</f>
        <v>155.11</v>
      </c>
      <c r="G26" s="184">
        <f t="shared" si="9"/>
        <v>15.110000000000014</v>
      </c>
      <c r="H26" s="280">
        <f t="shared" si="14"/>
        <v>1.1079285714285716</v>
      </c>
      <c r="I26" s="226">
        <f t="shared" si="1"/>
        <v>-26.889999999999986</v>
      </c>
      <c r="J26" s="243">
        <f t="shared" si="19"/>
        <v>0.8522527472527474</v>
      </c>
      <c r="K26" s="226"/>
      <c r="L26" s="226"/>
      <c r="M26" s="226"/>
      <c r="N26" s="226">
        <f>N28+N29</f>
        <v>1512.89</v>
      </c>
      <c r="O26" s="226">
        <f t="shared" si="16"/>
        <v>-1330.89</v>
      </c>
      <c r="P26" s="243">
        <f t="shared" si="17"/>
        <v>0.12029955912194541</v>
      </c>
      <c r="Q26" s="164">
        <f>Q28+Q29</f>
        <v>120.37</v>
      </c>
      <c r="R26" s="268">
        <f t="shared" si="5"/>
        <v>34.74000000000001</v>
      </c>
      <c r="S26" s="188">
        <f t="shared" si="18"/>
        <v>1.2886101188003656</v>
      </c>
      <c r="T26" s="194">
        <f t="shared" si="10"/>
        <v>140</v>
      </c>
      <c r="U26" s="194">
        <f t="shared" si="11"/>
        <v>155.11</v>
      </c>
      <c r="V26" s="226">
        <f t="shared" si="12"/>
        <v>15.110000000000014</v>
      </c>
      <c r="W26" s="243">
        <f aca="true" t="shared" si="21" ref="W26:W41">U26/T26*100</f>
        <v>110.79285714285716</v>
      </c>
      <c r="X26" s="264">
        <f t="shared" si="20"/>
        <v>1.1683105596784202</v>
      </c>
      <c r="Y26" s="122"/>
    </row>
    <row r="27" spans="1:25" s="6" customFormat="1" ht="18" customHeight="1" hidden="1">
      <c r="A27" s="8"/>
      <c r="B27" s="161" t="s">
        <v>102</v>
      </c>
      <c r="C27" s="162"/>
      <c r="D27" s="163">
        <f>D30+D31</f>
        <v>5996</v>
      </c>
      <c r="E27" s="163">
        <f>E30+E31</f>
        <v>4320</v>
      </c>
      <c r="F27" s="163">
        <f>F30+F31</f>
        <v>4486.79</v>
      </c>
      <c r="G27" s="184">
        <f t="shared" si="9"/>
        <v>166.78999999999996</v>
      </c>
      <c r="H27" s="280">
        <f t="shared" si="14"/>
        <v>1.0386087962962962</v>
      </c>
      <c r="I27" s="226">
        <f t="shared" si="1"/>
        <v>-1509.21</v>
      </c>
      <c r="J27" s="243">
        <f t="shared" si="19"/>
        <v>0.7482971981320881</v>
      </c>
      <c r="K27" s="226"/>
      <c r="L27" s="226"/>
      <c r="M27" s="226"/>
      <c r="N27" s="226">
        <f>N30+N31</f>
        <v>23901.28</v>
      </c>
      <c r="O27" s="226">
        <f t="shared" si="16"/>
        <v>-17905.28</v>
      </c>
      <c r="P27" s="243">
        <f t="shared" si="17"/>
        <v>0.25086522562808355</v>
      </c>
      <c r="Q27" s="164">
        <f>Q30+Q31</f>
        <v>3699.25</v>
      </c>
      <c r="R27" s="268">
        <f t="shared" si="5"/>
        <v>787.54</v>
      </c>
      <c r="S27" s="188">
        <f t="shared" si="18"/>
        <v>1.212891802392377</v>
      </c>
      <c r="T27" s="194">
        <f t="shared" si="10"/>
        <v>4320</v>
      </c>
      <c r="U27" s="194">
        <f t="shared" si="11"/>
        <v>4486.79</v>
      </c>
      <c r="V27" s="226">
        <f t="shared" si="12"/>
        <v>166.78999999999996</v>
      </c>
      <c r="W27" s="243">
        <f t="shared" si="21"/>
        <v>103.86087962962962</v>
      </c>
      <c r="X27" s="264">
        <f t="shared" si="20"/>
        <v>0.9620265767642934</v>
      </c>
      <c r="Y27" s="122"/>
    </row>
    <row r="28" spans="1:24" s="6" customFormat="1" ht="18" customHeight="1" hidden="1">
      <c r="A28" s="8"/>
      <c r="B28" s="273" t="s">
        <v>134</v>
      </c>
      <c r="C28" s="162">
        <v>18010100</v>
      </c>
      <c r="D28" s="286">
        <v>154</v>
      </c>
      <c r="E28" s="287">
        <v>126</v>
      </c>
      <c r="F28" s="274">
        <v>29.3</v>
      </c>
      <c r="G28" s="286">
        <f t="shared" si="9"/>
        <v>-96.7</v>
      </c>
      <c r="H28" s="288">
        <f t="shared" si="14"/>
        <v>0.23253968253968255</v>
      </c>
      <c r="I28" s="289">
        <f t="shared" si="1"/>
        <v>-124.7</v>
      </c>
      <c r="J28" s="290">
        <f t="shared" si="19"/>
        <v>0.19025974025974027</v>
      </c>
      <c r="K28" s="226"/>
      <c r="L28" s="226"/>
      <c r="M28" s="226"/>
      <c r="N28" s="289">
        <v>275.91</v>
      </c>
      <c r="O28" s="289">
        <f t="shared" si="16"/>
        <v>-121.91000000000003</v>
      </c>
      <c r="P28" s="290">
        <f t="shared" si="17"/>
        <v>0.5581530209126164</v>
      </c>
      <c r="Q28" s="289">
        <v>108.25</v>
      </c>
      <c r="R28" s="289">
        <f t="shared" si="5"/>
        <v>-78.95</v>
      </c>
      <c r="S28" s="290">
        <f t="shared" si="18"/>
        <v>0.2706697459584296</v>
      </c>
      <c r="T28" s="274">
        <f t="shared" si="10"/>
        <v>126</v>
      </c>
      <c r="U28" s="274">
        <f t="shared" si="11"/>
        <v>29.3</v>
      </c>
      <c r="V28" s="289">
        <f t="shared" si="12"/>
        <v>-96.7</v>
      </c>
      <c r="W28" s="290">
        <f t="shared" si="21"/>
        <v>23.253968253968253</v>
      </c>
      <c r="X28" s="264"/>
    </row>
    <row r="29" spans="1:24" s="6" customFormat="1" ht="18" customHeight="1" hidden="1">
      <c r="A29" s="8"/>
      <c r="B29" s="273" t="s">
        <v>132</v>
      </c>
      <c r="C29" s="162">
        <v>18010200</v>
      </c>
      <c r="D29" s="286">
        <v>28</v>
      </c>
      <c r="E29" s="287">
        <v>14</v>
      </c>
      <c r="F29" s="274">
        <v>125.81</v>
      </c>
      <c r="G29" s="286">
        <f t="shared" si="9"/>
        <v>111.81</v>
      </c>
      <c r="H29" s="288">
        <f t="shared" si="14"/>
        <v>8.986428571428572</v>
      </c>
      <c r="I29" s="289">
        <f t="shared" si="1"/>
        <v>97.81</v>
      </c>
      <c r="J29" s="290">
        <f t="shared" si="19"/>
        <v>4.493214285714286</v>
      </c>
      <c r="K29" s="226"/>
      <c r="L29" s="226"/>
      <c r="M29" s="226"/>
      <c r="N29" s="289">
        <v>1236.98</v>
      </c>
      <c r="O29" s="289">
        <f t="shared" si="16"/>
        <v>-1208.98</v>
      </c>
      <c r="P29" s="290">
        <f t="shared" si="17"/>
        <v>0.02263577422432052</v>
      </c>
      <c r="Q29" s="289">
        <v>12.12</v>
      </c>
      <c r="R29" s="289">
        <f t="shared" si="5"/>
        <v>113.69</v>
      </c>
      <c r="S29" s="290">
        <f t="shared" si="18"/>
        <v>10.380363036303631</v>
      </c>
      <c r="T29" s="274">
        <f t="shared" si="10"/>
        <v>14</v>
      </c>
      <c r="U29" s="274">
        <f t="shared" si="11"/>
        <v>125.81</v>
      </c>
      <c r="V29" s="289">
        <f t="shared" si="12"/>
        <v>111.81</v>
      </c>
      <c r="W29" s="290">
        <f t="shared" si="21"/>
        <v>898.6428571428572</v>
      </c>
      <c r="X29" s="264"/>
    </row>
    <row r="30" spans="1:24" s="6" customFormat="1" ht="18" customHeight="1" hidden="1">
      <c r="A30" s="8"/>
      <c r="B30" s="273" t="s">
        <v>133</v>
      </c>
      <c r="C30" s="162">
        <v>18010300</v>
      </c>
      <c r="D30" s="286">
        <v>76</v>
      </c>
      <c r="E30" s="287">
        <v>20</v>
      </c>
      <c r="F30" s="274">
        <v>280.99</v>
      </c>
      <c r="G30" s="286">
        <f t="shared" si="9"/>
        <v>260.99</v>
      </c>
      <c r="H30" s="288">
        <f t="shared" si="14"/>
        <v>14.0495</v>
      </c>
      <c r="I30" s="289">
        <f t="shared" si="1"/>
        <v>204.99</v>
      </c>
      <c r="J30" s="290">
        <f t="shared" si="19"/>
        <v>3.6972368421052635</v>
      </c>
      <c r="K30" s="226"/>
      <c r="L30" s="226"/>
      <c r="M30" s="226"/>
      <c r="N30" s="289">
        <v>2220.25</v>
      </c>
      <c r="O30" s="289">
        <f t="shared" si="16"/>
        <v>-2144.25</v>
      </c>
      <c r="P30" s="290">
        <f t="shared" si="17"/>
        <v>0.03423037946177232</v>
      </c>
      <c r="Q30" s="289">
        <v>17.34</v>
      </c>
      <c r="R30" s="289">
        <f t="shared" si="5"/>
        <v>263.65000000000003</v>
      </c>
      <c r="S30" s="290">
        <f t="shared" si="18"/>
        <v>16.20472895040369</v>
      </c>
      <c r="T30" s="274">
        <f t="shared" si="10"/>
        <v>20</v>
      </c>
      <c r="U30" s="274">
        <f t="shared" si="11"/>
        <v>280.99</v>
      </c>
      <c r="V30" s="289">
        <f t="shared" si="12"/>
        <v>260.99</v>
      </c>
      <c r="W30" s="290">
        <f t="shared" si="21"/>
        <v>1404.95</v>
      </c>
      <c r="X30" s="264"/>
    </row>
    <row r="31" spans="1:24" s="6" customFormat="1" ht="18" customHeight="1" hidden="1">
      <c r="A31" s="8"/>
      <c r="B31" s="273" t="s">
        <v>135</v>
      </c>
      <c r="C31" s="162">
        <v>18010400</v>
      </c>
      <c r="D31" s="286">
        <v>5920</v>
      </c>
      <c r="E31" s="287">
        <v>4300</v>
      </c>
      <c r="F31" s="274">
        <v>4205.8</v>
      </c>
      <c r="G31" s="286">
        <f t="shared" si="9"/>
        <v>-94.19999999999982</v>
      </c>
      <c r="H31" s="288">
        <f t="shared" si="14"/>
        <v>0.978093023255814</v>
      </c>
      <c r="I31" s="289">
        <f t="shared" si="1"/>
        <v>-1714.1999999999998</v>
      </c>
      <c r="J31" s="290">
        <f t="shared" si="19"/>
        <v>0.7104391891891892</v>
      </c>
      <c r="K31" s="226"/>
      <c r="L31" s="226"/>
      <c r="M31" s="226"/>
      <c r="N31" s="289">
        <v>21681.03</v>
      </c>
      <c r="O31" s="289">
        <f t="shared" si="16"/>
        <v>-15761.029999999999</v>
      </c>
      <c r="P31" s="290">
        <f t="shared" si="17"/>
        <v>0.2730497582448804</v>
      </c>
      <c r="Q31" s="289">
        <v>3681.91</v>
      </c>
      <c r="R31" s="289">
        <f t="shared" si="5"/>
        <v>523.8900000000003</v>
      </c>
      <c r="S31" s="290">
        <f t="shared" si="18"/>
        <v>1.1422875627052265</v>
      </c>
      <c r="T31" s="274">
        <f t="shared" si="10"/>
        <v>4300</v>
      </c>
      <c r="U31" s="274">
        <f t="shared" si="11"/>
        <v>4205.8</v>
      </c>
      <c r="V31" s="289"/>
      <c r="W31" s="290">
        <f t="shared" si="21"/>
        <v>97.8093023255814</v>
      </c>
      <c r="X31" s="264"/>
    </row>
    <row r="32" spans="1:24" s="6" customFormat="1" ht="18">
      <c r="A32" s="8"/>
      <c r="B32" s="45" t="s">
        <v>70</v>
      </c>
      <c r="C32" s="101"/>
      <c r="D32" s="140">
        <v>87</v>
      </c>
      <c r="E32" s="270">
        <v>30</v>
      </c>
      <c r="F32" s="141">
        <v>157.03</v>
      </c>
      <c r="G32" s="204">
        <f t="shared" si="9"/>
        <v>127.03</v>
      </c>
      <c r="H32" s="279">
        <f t="shared" si="14"/>
        <v>5.234333333333334</v>
      </c>
      <c r="I32" s="205">
        <f t="shared" si="1"/>
        <v>70.03</v>
      </c>
      <c r="J32" s="230">
        <f t="shared" si="19"/>
        <v>1.8049425287356322</v>
      </c>
      <c r="K32" s="205"/>
      <c r="L32" s="205"/>
      <c r="M32" s="205"/>
      <c r="N32" s="205">
        <v>645.26</v>
      </c>
      <c r="O32" s="205">
        <f t="shared" si="16"/>
        <v>-558.26</v>
      </c>
      <c r="P32" s="230">
        <f t="shared" si="17"/>
        <v>0.13482937110622076</v>
      </c>
      <c r="Q32" s="142">
        <v>52.08</v>
      </c>
      <c r="R32" s="142">
        <f t="shared" si="5"/>
        <v>104.95</v>
      </c>
      <c r="S32" s="175">
        <f t="shared" si="18"/>
        <v>3.0151689708141323</v>
      </c>
      <c r="T32" s="160">
        <f t="shared" si="10"/>
        <v>30</v>
      </c>
      <c r="U32" s="145">
        <f t="shared" si="11"/>
        <v>157.03</v>
      </c>
      <c r="V32" s="137">
        <f t="shared" si="12"/>
        <v>127.03</v>
      </c>
      <c r="W32" s="230">
        <f>U32/T32</f>
        <v>5.234333333333334</v>
      </c>
      <c r="X32" s="265">
        <f t="shared" si="20"/>
        <v>2.8803395997079115</v>
      </c>
    </row>
    <row r="33" spans="1:24" s="6" customFormat="1" ht="15" hidden="1">
      <c r="A33" s="8"/>
      <c r="B33" s="45" t="s">
        <v>136</v>
      </c>
      <c r="C33" s="101">
        <v>18011000</v>
      </c>
      <c r="D33" s="87">
        <v>25</v>
      </c>
      <c r="E33" s="291">
        <v>0</v>
      </c>
      <c r="F33" s="115">
        <v>27.85</v>
      </c>
      <c r="G33" s="87">
        <f t="shared" si="9"/>
        <v>27.85</v>
      </c>
      <c r="H33" s="277" t="e">
        <f t="shared" si="14"/>
        <v>#DIV/0!</v>
      </c>
      <c r="I33" s="88">
        <f t="shared" si="1"/>
        <v>2.8500000000000014</v>
      </c>
      <c r="J33" s="91">
        <f t="shared" si="19"/>
        <v>1.114</v>
      </c>
      <c r="K33" s="88"/>
      <c r="L33" s="88"/>
      <c r="M33" s="88"/>
      <c r="N33" s="88">
        <v>241.36</v>
      </c>
      <c r="O33" s="88">
        <f t="shared" si="16"/>
        <v>-216.36</v>
      </c>
      <c r="P33" s="91">
        <f t="shared" si="17"/>
        <v>0.10357971494862446</v>
      </c>
      <c r="Q33" s="88">
        <v>0</v>
      </c>
      <c r="R33" s="88">
        <f t="shared" si="5"/>
        <v>27.85</v>
      </c>
      <c r="S33" s="91" t="e">
        <f t="shared" si="18"/>
        <v>#DIV/0!</v>
      </c>
      <c r="T33" s="89">
        <f t="shared" si="10"/>
        <v>0</v>
      </c>
      <c r="U33" s="119">
        <f t="shared" si="11"/>
        <v>27.85</v>
      </c>
      <c r="V33" s="90">
        <f t="shared" si="12"/>
        <v>27.85</v>
      </c>
      <c r="W33" s="91" t="e">
        <f>U33/T33</f>
        <v>#DIV/0!</v>
      </c>
      <c r="X33" s="265"/>
    </row>
    <row r="34" spans="1:24" s="6" customFormat="1" ht="15" hidden="1">
      <c r="A34" s="8"/>
      <c r="B34" s="45" t="s">
        <v>137</v>
      </c>
      <c r="C34" s="101">
        <v>18011100</v>
      </c>
      <c r="D34" s="87">
        <v>62</v>
      </c>
      <c r="E34" s="291">
        <v>30</v>
      </c>
      <c r="F34" s="115">
        <v>129.18</v>
      </c>
      <c r="G34" s="87">
        <f t="shared" si="9"/>
        <v>99.18</v>
      </c>
      <c r="H34" s="277">
        <f t="shared" si="14"/>
        <v>4.306</v>
      </c>
      <c r="I34" s="88">
        <f t="shared" si="1"/>
        <v>67.18</v>
      </c>
      <c r="J34" s="91">
        <f t="shared" si="19"/>
        <v>2.083548387096774</v>
      </c>
      <c r="K34" s="88"/>
      <c r="L34" s="88"/>
      <c r="M34" s="88"/>
      <c r="N34" s="88">
        <v>403.91</v>
      </c>
      <c r="O34" s="88">
        <f t="shared" si="16"/>
        <v>-341.91</v>
      </c>
      <c r="P34" s="91">
        <f t="shared" si="17"/>
        <v>0.1534995419771731</v>
      </c>
      <c r="Q34" s="88">
        <v>52.08</v>
      </c>
      <c r="R34" s="88">
        <f t="shared" si="5"/>
        <v>77.10000000000001</v>
      </c>
      <c r="S34" s="91">
        <f t="shared" si="18"/>
        <v>2.480414746543779</v>
      </c>
      <c r="T34" s="89">
        <f t="shared" si="10"/>
        <v>30</v>
      </c>
      <c r="U34" s="119">
        <f t="shared" si="11"/>
        <v>129.18</v>
      </c>
      <c r="V34" s="90"/>
      <c r="W34" s="91">
        <f>U34/T34</f>
        <v>4.306</v>
      </c>
      <c r="X34" s="265"/>
    </row>
    <row r="35" spans="1:24" s="6" customFormat="1" ht="18">
      <c r="A35" s="8"/>
      <c r="B35" s="45" t="s">
        <v>71</v>
      </c>
      <c r="C35" s="101"/>
      <c r="D35" s="140">
        <v>40670</v>
      </c>
      <c r="E35" s="270">
        <v>13180</v>
      </c>
      <c r="F35" s="141">
        <v>13353.5</v>
      </c>
      <c r="G35" s="123">
        <f t="shared" si="9"/>
        <v>173.5</v>
      </c>
      <c r="H35" s="279">
        <f t="shared" si="14"/>
        <v>1.013163884673748</v>
      </c>
      <c r="I35" s="205">
        <f t="shared" si="1"/>
        <v>-27316.5</v>
      </c>
      <c r="J35" s="230">
        <f t="shared" si="19"/>
        <v>0.3283378411605606</v>
      </c>
      <c r="K35" s="205"/>
      <c r="L35" s="205"/>
      <c r="M35" s="205"/>
      <c r="N35" s="205">
        <v>181171.61</v>
      </c>
      <c r="O35" s="205">
        <f t="shared" si="16"/>
        <v>-140501.61</v>
      </c>
      <c r="P35" s="230">
        <f t="shared" si="17"/>
        <v>0.22448329514762275</v>
      </c>
      <c r="Q35" s="143">
        <v>12648.59</v>
      </c>
      <c r="R35" s="143">
        <f t="shared" si="5"/>
        <v>704.9099999999999</v>
      </c>
      <c r="S35" s="174">
        <f t="shared" si="18"/>
        <v>1.0557303225102561</v>
      </c>
      <c r="T35" s="160">
        <f t="shared" si="10"/>
        <v>13180</v>
      </c>
      <c r="U35" s="145">
        <f t="shared" si="11"/>
        <v>13353.5</v>
      </c>
      <c r="V35" s="137">
        <f t="shared" si="12"/>
        <v>173.5</v>
      </c>
      <c r="W35" s="230">
        <f>U35/T35</f>
        <v>1.013163884673748</v>
      </c>
      <c r="X35" s="265">
        <f t="shared" si="20"/>
        <v>0.8312470273626333</v>
      </c>
    </row>
    <row r="36" spans="1:24" s="6" customFormat="1" ht="18" customHeight="1" hidden="1">
      <c r="A36" s="8"/>
      <c r="B36" s="161" t="s">
        <v>103</v>
      </c>
      <c r="C36" s="162"/>
      <c r="D36" s="163">
        <f aca="true" t="shared" si="22" ref="D36:F37">D38+D40</f>
        <v>12570</v>
      </c>
      <c r="E36" s="163">
        <f t="shared" si="22"/>
        <v>4080</v>
      </c>
      <c r="F36" s="163">
        <f t="shared" si="22"/>
        <v>4067.24</v>
      </c>
      <c r="G36" s="184">
        <f t="shared" si="9"/>
        <v>-12.760000000000218</v>
      </c>
      <c r="H36" s="280">
        <f t="shared" si="14"/>
        <v>0.9968725490196078</v>
      </c>
      <c r="I36" s="226">
        <f t="shared" si="1"/>
        <v>-8502.76</v>
      </c>
      <c r="J36" s="243">
        <f t="shared" si="19"/>
        <v>0.32356722354813044</v>
      </c>
      <c r="K36" s="226"/>
      <c r="L36" s="226"/>
      <c r="M36" s="226"/>
      <c r="N36" s="226">
        <f>N38+N40</f>
        <v>58608.68</v>
      </c>
      <c r="O36" s="226">
        <f t="shared" si="16"/>
        <v>-46038.68</v>
      </c>
      <c r="P36" s="243">
        <f t="shared" si="17"/>
        <v>0.21447335104629553</v>
      </c>
      <c r="Q36" s="164">
        <f>Q38+Q40</f>
        <v>3799.8500000000004</v>
      </c>
      <c r="R36" s="164">
        <f t="shared" si="5"/>
        <v>267.3899999999994</v>
      </c>
      <c r="S36" s="188">
        <f t="shared" si="18"/>
        <v>1.0703685671802832</v>
      </c>
      <c r="T36" s="194">
        <f t="shared" si="10"/>
        <v>4080</v>
      </c>
      <c r="U36" s="194">
        <f t="shared" si="11"/>
        <v>4067.24</v>
      </c>
      <c r="V36" s="226">
        <f t="shared" si="12"/>
        <v>-12.760000000000218</v>
      </c>
      <c r="W36" s="243">
        <f t="shared" si="21"/>
        <v>99.68725490196077</v>
      </c>
      <c r="X36" s="264">
        <f t="shared" si="20"/>
        <v>0.8558952161339877</v>
      </c>
    </row>
    <row r="37" spans="1:24" s="6" customFormat="1" ht="18" customHeight="1" hidden="1">
      <c r="A37" s="8"/>
      <c r="B37" s="161" t="s">
        <v>104</v>
      </c>
      <c r="C37" s="162"/>
      <c r="D37" s="163">
        <f t="shared" si="22"/>
        <v>28100</v>
      </c>
      <c r="E37" s="163">
        <f t="shared" si="22"/>
        <v>9100</v>
      </c>
      <c r="F37" s="163">
        <f t="shared" si="22"/>
        <v>9286.26</v>
      </c>
      <c r="G37" s="184">
        <f t="shared" si="9"/>
        <v>186.26000000000022</v>
      </c>
      <c r="H37" s="280">
        <f t="shared" si="14"/>
        <v>1.020468131868132</v>
      </c>
      <c r="I37" s="226">
        <f t="shared" si="1"/>
        <v>-18813.739999999998</v>
      </c>
      <c r="J37" s="243">
        <f t="shared" si="19"/>
        <v>0.3304718861209964</v>
      </c>
      <c r="K37" s="226"/>
      <c r="L37" s="226"/>
      <c r="M37" s="226"/>
      <c r="N37" s="226">
        <f>N39+N41</f>
        <v>122562.93000000001</v>
      </c>
      <c r="O37" s="226">
        <f t="shared" si="16"/>
        <v>-94462.93000000001</v>
      </c>
      <c r="P37" s="243">
        <f t="shared" si="17"/>
        <v>0.22926997584016634</v>
      </c>
      <c r="Q37" s="164">
        <f>Q39+Q41</f>
        <v>8848.73</v>
      </c>
      <c r="R37" s="164">
        <f t="shared" si="5"/>
        <v>437.53000000000065</v>
      </c>
      <c r="S37" s="188">
        <f t="shared" si="18"/>
        <v>1.0494455136499814</v>
      </c>
      <c r="T37" s="194">
        <f t="shared" si="10"/>
        <v>9100</v>
      </c>
      <c r="U37" s="194">
        <f t="shared" si="11"/>
        <v>9286.26</v>
      </c>
      <c r="V37" s="226">
        <f t="shared" si="12"/>
        <v>186.26000000000022</v>
      </c>
      <c r="W37" s="243">
        <f t="shared" si="21"/>
        <v>102.0468131868132</v>
      </c>
      <c r="X37" s="264">
        <f t="shared" si="20"/>
        <v>0.820175537809815</v>
      </c>
    </row>
    <row r="38" spans="1:24" s="6" customFormat="1" ht="18" customHeight="1" hidden="1">
      <c r="A38" s="8"/>
      <c r="B38" s="275" t="s">
        <v>138</v>
      </c>
      <c r="C38" s="162">
        <v>18010500</v>
      </c>
      <c r="D38" s="286">
        <v>12300</v>
      </c>
      <c r="E38" s="286">
        <v>4000</v>
      </c>
      <c r="F38" s="274">
        <v>3984.41</v>
      </c>
      <c r="G38" s="286">
        <f t="shared" si="9"/>
        <v>-15.590000000000146</v>
      </c>
      <c r="H38" s="288">
        <f t="shared" si="14"/>
        <v>0.9961025</v>
      </c>
      <c r="I38" s="289">
        <f t="shared" si="1"/>
        <v>-8315.59</v>
      </c>
      <c r="J38" s="290">
        <f t="shared" si="19"/>
        <v>0.3239357723577236</v>
      </c>
      <c r="K38" s="226"/>
      <c r="L38" s="226"/>
      <c r="M38" s="226"/>
      <c r="N38" s="289">
        <v>55246.24</v>
      </c>
      <c r="O38" s="289">
        <f t="shared" si="16"/>
        <v>-42946.24</v>
      </c>
      <c r="P38" s="290">
        <f t="shared" si="17"/>
        <v>0.22263958597001354</v>
      </c>
      <c r="Q38" s="289">
        <v>3720.59</v>
      </c>
      <c r="R38" s="289">
        <f t="shared" si="5"/>
        <v>263.8199999999997</v>
      </c>
      <c r="S38" s="290">
        <f t="shared" si="18"/>
        <v>1.0709081086601855</v>
      </c>
      <c r="T38" s="274">
        <f t="shared" si="10"/>
        <v>4000</v>
      </c>
      <c r="U38" s="274">
        <f t="shared" si="11"/>
        <v>3984.41</v>
      </c>
      <c r="V38" s="289">
        <f t="shared" si="12"/>
        <v>-15.590000000000146</v>
      </c>
      <c r="W38" s="290">
        <f t="shared" si="21"/>
        <v>99.61025</v>
      </c>
      <c r="X38" s="264"/>
    </row>
    <row r="39" spans="1:24" s="6" customFormat="1" ht="18" customHeight="1" hidden="1">
      <c r="A39" s="8"/>
      <c r="B39" s="275" t="s">
        <v>139</v>
      </c>
      <c r="C39" s="162">
        <v>18010600</v>
      </c>
      <c r="D39" s="286">
        <v>23150</v>
      </c>
      <c r="E39" s="286">
        <v>7500</v>
      </c>
      <c r="F39" s="274">
        <v>7793.45</v>
      </c>
      <c r="G39" s="286">
        <f t="shared" si="9"/>
        <v>293.4499999999998</v>
      </c>
      <c r="H39" s="288">
        <f t="shared" si="14"/>
        <v>1.0391266666666665</v>
      </c>
      <c r="I39" s="289">
        <f t="shared" si="1"/>
        <v>-15356.55</v>
      </c>
      <c r="J39" s="290">
        <f t="shared" si="19"/>
        <v>0.3366501079913607</v>
      </c>
      <c r="K39" s="226"/>
      <c r="L39" s="226"/>
      <c r="M39" s="226"/>
      <c r="N39" s="289">
        <v>102196.35</v>
      </c>
      <c r="O39" s="289">
        <f t="shared" si="16"/>
        <v>-79046.35</v>
      </c>
      <c r="P39" s="290">
        <f t="shared" si="17"/>
        <v>0.22652472421960274</v>
      </c>
      <c r="Q39" s="289">
        <v>7428.28</v>
      </c>
      <c r="R39" s="289">
        <f t="shared" si="5"/>
        <v>365.1700000000001</v>
      </c>
      <c r="S39" s="290">
        <f t="shared" si="18"/>
        <v>1.0491594285621975</v>
      </c>
      <c r="T39" s="274">
        <f t="shared" si="10"/>
        <v>7500</v>
      </c>
      <c r="U39" s="274">
        <f t="shared" si="11"/>
        <v>7793.45</v>
      </c>
      <c r="V39" s="289">
        <f t="shared" si="12"/>
        <v>293.4499999999998</v>
      </c>
      <c r="W39" s="290">
        <f t="shared" si="21"/>
        <v>103.91266666666665</v>
      </c>
      <c r="X39" s="264"/>
    </row>
    <row r="40" spans="1:24" s="6" customFormat="1" ht="18" customHeight="1" hidden="1">
      <c r="A40" s="8"/>
      <c r="B40" s="275" t="s">
        <v>140</v>
      </c>
      <c r="C40" s="162">
        <v>18010700</v>
      </c>
      <c r="D40" s="286">
        <v>270</v>
      </c>
      <c r="E40" s="286">
        <v>80</v>
      </c>
      <c r="F40" s="274">
        <v>82.83</v>
      </c>
      <c r="G40" s="286">
        <f t="shared" si="9"/>
        <v>2.8299999999999983</v>
      </c>
      <c r="H40" s="288">
        <f t="shared" si="14"/>
        <v>1.035375</v>
      </c>
      <c r="I40" s="289">
        <f t="shared" si="1"/>
        <v>-187.17000000000002</v>
      </c>
      <c r="J40" s="290">
        <f t="shared" si="19"/>
        <v>0.30677777777777776</v>
      </c>
      <c r="K40" s="226"/>
      <c r="L40" s="226"/>
      <c r="M40" s="226"/>
      <c r="N40" s="289">
        <v>3362.44</v>
      </c>
      <c r="O40" s="289">
        <f t="shared" si="16"/>
        <v>-3092.44</v>
      </c>
      <c r="P40" s="290">
        <f t="shared" si="17"/>
        <v>0.08029883061110384</v>
      </c>
      <c r="Q40" s="289">
        <v>79.26</v>
      </c>
      <c r="R40" s="289">
        <f t="shared" si="5"/>
        <v>3.569999999999993</v>
      </c>
      <c r="S40" s="290">
        <f t="shared" si="18"/>
        <v>1.0450416351249052</v>
      </c>
      <c r="T40" s="274">
        <f t="shared" si="10"/>
        <v>80</v>
      </c>
      <c r="U40" s="274">
        <f t="shared" si="11"/>
        <v>82.83</v>
      </c>
      <c r="V40" s="289">
        <f t="shared" si="12"/>
        <v>2.8299999999999983</v>
      </c>
      <c r="W40" s="290">
        <f t="shared" si="21"/>
        <v>103.5375</v>
      </c>
      <c r="X40" s="264"/>
    </row>
    <row r="41" spans="1:24" s="6" customFormat="1" ht="18" customHeight="1" hidden="1">
      <c r="A41" s="8"/>
      <c r="B41" s="275" t="s">
        <v>141</v>
      </c>
      <c r="C41" s="162">
        <v>18010900</v>
      </c>
      <c r="D41" s="286">
        <v>4950</v>
      </c>
      <c r="E41" s="286">
        <v>1600</v>
      </c>
      <c r="F41" s="274">
        <v>1492.81</v>
      </c>
      <c r="G41" s="286">
        <f t="shared" si="9"/>
        <v>-107.19000000000005</v>
      </c>
      <c r="H41" s="288">
        <f t="shared" si="14"/>
        <v>0.9330062499999999</v>
      </c>
      <c r="I41" s="289">
        <f t="shared" si="1"/>
        <v>-3457.19</v>
      </c>
      <c r="J41" s="290">
        <f t="shared" si="19"/>
        <v>0.3015777777777778</v>
      </c>
      <c r="K41" s="226"/>
      <c r="L41" s="226"/>
      <c r="M41" s="226"/>
      <c r="N41" s="289">
        <v>20366.58</v>
      </c>
      <c r="O41" s="289">
        <f t="shared" si="16"/>
        <v>-15416.580000000002</v>
      </c>
      <c r="P41" s="290">
        <f t="shared" si="17"/>
        <v>0.24304522408769658</v>
      </c>
      <c r="Q41" s="289">
        <v>1420.45</v>
      </c>
      <c r="R41" s="289">
        <f t="shared" si="5"/>
        <v>72.3599999999999</v>
      </c>
      <c r="S41" s="290">
        <f t="shared" si="18"/>
        <v>1.0509416030131296</v>
      </c>
      <c r="T41" s="274">
        <f t="shared" si="10"/>
        <v>1600</v>
      </c>
      <c r="U41" s="274">
        <f t="shared" si="11"/>
        <v>1492.81</v>
      </c>
      <c r="V41" s="289">
        <f t="shared" si="12"/>
        <v>-107.19000000000005</v>
      </c>
      <c r="W41" s="290">
        <f t="shared" si="21"/>
        <v>93.300625</v>
      </c>
      <c r="X41" s="264"/>
    </row>
    <row r="42" spans="1:24" s="6" customFormat="1" ht="18">
      <c r="A42" s="8"/>
      <c r="B42" s="185" t="s">
        <v>106</v>
      </c>
      <c r="C42" s="183">
        <v>18020000</v>
      </c>
      <c r="D42" s="133">
        <v>0</v>
      </c>
      <c r="E42" s="133">
        <f>D42</f>
        <v>0</v>
      </c>
      <c r="F42" s="163">
        <v>0</v>
      </c>
      <c r="G42" s="123">
        <f t="shared" si="9"/>
        <v>0</v>
      </c>
      <c r="H42" s="276"/>
      <c r="I42" s="129">
        <f t="shared" si="1"/>
        <v>0</v>
      </c>
      <c r="J42" s="129"/>
      <c r="K42" s="129"/>
      <c r="L42" s="129"/>
      <c r="M42" s="129"/>
      <c r="N42" s="129">
        <v>0.2</v>
      </c>
      <c r="O42" s="129">
        <f t="shared" si="16"/>
        <v>-0.2</v>
      </c>
      <c r="P42" s="173">
        <f t="shared" si="17"/>
        <v>0</v>
      </c>
      <c r="Q42" s="138">
        <v>0.2</v>
      </c>
      <c r="R42" s="129">
        <f t="shared" si="5"/>
        <v>-0.2</v>
      </c>
      <c r="S42" s="173"/>
      <c r="T42" s="128">
        <f t="shared" si="10"/>
        <v>0</v>
      </c>
      <c r="U42" s="131">
        <f t="shared" si="11"/>
        <v>0</v>
      </c>
      <c r="V42" s="132">
        <f t="shared" si="12"/>
        <v>0</v>
      </c>
      <c r="W42" s="173"/>
      <c r="X42" s="264">
        <f t="shared" si="20"/>
        <v>0</v>
      </c>
    </row>
    <row r="43" spans="1:24" s="6" customFormat="1" ht="18">
      <c r="A43" s="8"/>
      <c r="B43" s="39" t="s">
        <v>77</v>
      </c>
      <c r="C43" s="95">
        <v>18030000</v>
      </c>
      <c r="D43" s="123">
        <v>38.3</v>
      </c>
      <c r="E43" s="133">
        <v>13.1</v>
      </c>
      <c r="F43" s="127">
        <v>10.43</v>
      </c>
      <c r="G43" s="123">
        <f t="shared" si="9"/>
        <v>-2.67</v>
      </c>
      <c r="H43" s="276">
        <f>F43/E43</f>
        <v>0.7961832061068702</v>
      </c>
      <c r="I43" s="129">
        <f t="shared" si="1"/>
        <v>-27.869999999999997</v>
      </c>
      <c r="J43" s="173">
        <f>F43/D43</f>
        <v>0.2723237597911227</v>
      </c>
      <c r="K43" s="129"/>
      <c r="L43" s="129"/>
      <c r="M43" s="129"/>
      <c r="N43" s="129">
        <v>156.82</v>
      </c>
      <c r="O43" s="129">
        <f t="shared" si="16"/>
        <v>-118.52</v>
      </c>
      <c r="P43" s="173">
        <f t="shared" si="17"/>
        <v>0.24422905241678355</v>
      </c>
      <c r="Q43" s="138">
        <v>13.06</v>
      </c>
      <c r="R43" s="129">
        <f t="shared" si="5"/>
        <v>-2.630000000000001</v>
      </c>
      <c r="S43" s="173">
        <f aca="true" t="shared" si="23" ref="S43:S51">F43/Q43</f>
        <v>0.7986217457886676</v>
      </c>
      <c r="T43" s="128">
        <f t="shared" si="10"/>
        <v>13.1</v>
      </c>
      <c r="U43" s="131">
        <f t="shared" si="11"/>
        <v>10.43</v>
      </c>
      <c r="V43" s="132">
        <f t="shared" si="12"/>
        <v>-2.67</v>
      </c>
      <c r="W43" s="173">
        <f>U43/T43</f>
        <v>0.7961832061068702</v>
      </c>
      <c r="X43" s="264">
        <f t="shared" si="20"/>
        <v>0.5543926933718841</v>
      </c>
    </row>
    <row r="44" spans="1:24" s="6" customFormat="1" ht="15" hidden="1">
      <c r="A44" s="8"/>
      <c r="B44" s="45" t="s">
        <v>142</v>
      </c>
      <c r="C44" s="86">
        <v>18031000</v>
      </c>
      <c r="D44" s="87">
        <v>22.9</v>
      </c>
      <c r="E44" s="87">
        <v>5.5</v>
      </c>
      <c r="F44" s="115">
        <v>9.9</v>
      </c>
      <c r="G44" s="87">
        <f t="shared" si="9"/>
        <v>4.4</v>
      </c>
      <c r="H44" s="277">
        <f>F44/E44</f>
        <v>1.8</v>
      </c>
      <c r="I44" s="88">
        <f t="shared" si="1"/>
        <v>-12.999999999999998</v>
      </c>
      <c r="J44" s="91">
        <f>F44/D44</f>
        <v>0.4323144104803494</v>
      </c>
      <c r="K44" s="88"/>
      <c r="L44" s="88"/>
      <c r="M44" s="88"/>
      <c r="N44" s="88">
        <v>95.14</v>
      </c>
      <c r="O44" s="88">
        <f t="shared" si="16"/>
        <v>-72.24000000000001</v>
      </c>
      <c r="P44" s="91">
        <f t="shared" si="17"/>
        <v>0.2406979188564221</v>
      </c>
      <c r="Q44" s="88">
        <v>5.51</v>
      </c>
      <c r="R44" s="88">
        <f t="shared" si="5"/>
        <v>4.390000000000001</v>
      </c>
      <c r="S44" s="91">
        <f t="shared" si="23"/>
        <v>1.7967332123411979</v>
      </c>
      <c r="T44" s="89">
        <f t="shared" si="10"/>
        <v>5.5</v>
      </c>
      <c r="U44" s="119">
        <f t="shared" si="11"/>
        <v>9.9</v>
      </c>
      <c r="V44" s="90">
        <f t="shared" si="12"/>
        <v>4.4</v>
      </c>
      <c r="W44" s="91">
        <f>U44/T44</f>
        <v>1.8</v>
      </c>
      <c r="X44" s="264"/>
    </row>
    <row r="45" spans="1:24" s="6" customFormat="1" ht="15" hidden="1">
      <c r="A45" s="8"/>
      <c r="B45" s="45" t="s">
        <v>143</v>
      </c>
      <c r="C45" s="86">
        <v>18031100</v>
      </c>
      <c r="D45" s="87">
        <v>15.4</v>
      </c>
      <c r="E45" s="87">
        <v>7.6</v>
      </c>
      <c r="F45" s="115">
        <v>0.53</v>
      </c>
      <c r="G45" s="87">
        <f t="shared" si="9"/>
        <v>-7.069999999999999</v>
      </c>
      <c r="H45" s="277">
        <f>F45/E45</f>
        <v>0.06973684210526317</v>
      </c>
      <c r="I45" s="88">
        <f t="shared" si="1"/>
        <v>-14.870000000000001</v>
      </c>
      <c r="J45" s="91">
        <f>F45/D45</f>
        <v>0.03441558441558441</v>
      </c>
      <c r="K45" s="88"/>
      <c r="L45" s="88"/>
      <c r="M45" s="88"/>
      <c r="N45" s="88">
        <v>61.68</v>
      </c>
      <c r="O45" s="88">
        <f t="shared" si="16"/>
        <v>-46.28</v>
      </c>
      <c r="P45" s="91">
        <f t="shared" si="17"/>
        <v>0.2496757457846952</v>
      </c>
      <c r="Q45" s="88">
        <v>7.56</v>
      </c>
      <c r="R45" s="88">
        <f t="shared" si="5"/>
        <v>-7.029999999999999</v>
      </c>
      <c r="S45" s="91">
        <f t="shared" si="23"/>
        <v>0.07010582010582012</v>
      </c>
      <c r="T45" s="89">
        <f t="shared" si="10"/>
        <v>7.6</v>
      </c>
      <c r="U45" s="119">
        <f t="shared" si="11"/>
        <v>0.53</v>
      </c>
      <c r="V45" s="90">
        <f t="shared" si="12"/>
        <v>-7.069999999999999</v>
      </c>
      <c r="W45" s="91">
        <f>U45/T45</f>
        <v>0.06973684210526317</v>
      </c>
      <c r="X45" s="264"/>
    </row>
    <row r="46" spans="1:24" s="6" customFormat="1" ht="30.75">
      <c r="A46" s="8"/>
      <c r="B46" s="185" t="s">
        <v>78</v>
      </c>
      <c r="C46" s="95">
        <v>18040000</v>
      </c>
      <c r="D46" s="123"/>
      <c r="E46" s="123"/>
      <c r="F46" s="127">
        <v>-0.91</v>
      </c>
      <c r="G46" s="123">
        <f t="shared" si="9"/>
        <v>-0.91</v>
      </c>
      <c r="H46" s="276"/>
      <c r="I46" s="129">
        <f t="shared" si="1"/>
        <v>-0.91</v>
      </c>
      <c r="J46" s="173"/>
      <c r="K46" s="129"/>
      <c r="L46" s="129"/>
      <c r="M46" s="129"/>
      <c r="N46" s="129">
        <v>-50.78</v>
      </c>
      <c r="O46" s="129">
        <f t="shared" si="16"/>
        <v>50.78</v>
      </c>
      <c r="P46" s="173">
        <f t="shared" si="17"/>
        <v>0</v>
      </c>
      <c r="Q46" s="129">
        <v>-2.93</v>
      </c>
      <c r="R46" s="129">
        <f t="shared" si="5"/>
        <v>2.02</v>
      </c>
      <c r="S46" s="173">
        <f t="shared" si="23"/>
        <v>0.310580204778157</v>
      </c>
      <c r="T46" s="128">
        <f t="shared" si="10"/>
        <v>0</v>
      </c>
      <c r="U46" s="131">
        <f t="shared" si="11"/>
        <v>-0.91</v>
      </c>
      <c r="V46" s="132">
        <f t="shared" si="12"/>
        <v>-0.91</v>
      </c>
      <c r="W46" s="173"/>
      <c r="X46" s="264">
        <f t="shared" si="20"/>
        <v>0.310580204778157</v>
      </c>
    </row>
    <row r="47" spans="1:24" s="6" customFormat="1" ht="18">
      <c r="A47" s="8"/>
      <c r="B47" s="39" t="s">
        <v>79</v>
      </c>
      <c r="C47" s="95">
        <v>18050000</v>
      </c>
      <c r="D47" s="133">
        <v>64420</v>
      </c>
      <c r="E47" s="133">
        <v>23620</v>
      </c>
      <c r="F47" s="134">
        <v>25046.2</v>
      </c>
      <c r="G47" s="123">
        <f t="shared" si="9"/>
        <v>1426.2000000000007</v>
      </c>
      <c r="H47" s="276">
        <f>F47/E47*100</f>
        <v>106.0381033022862</v>
      </c>
      <c r="I47" s="129">
        <f t="shared" si="1"/>
        <v>-39373.8</v>
      </c>
      <c r="J47" s="173">
        <f>F47/D47</f>
        <v>0.388795405153679</v>
      </c>
      <c r="K47" s="129"/>
      <c r="L47" s="129"/>
      <c r="M47" s="129"/>
      <c r="N47" s="129">
        <v>223368.23</v>
      </c>
      <c r="O47" s="129">
        <f t="shared" si="16"/>
        <v>-158948.23</v>
      </c>
      <c r="P47" s="173">
        <f t="shared" si="17"/>
        <v>0.28840269719646344</v>
      </c>
      <c r="Q47" s="144">
        <v>20649.68</v>
      </c>
      <c r="R47" s="144">
        <f t="shared" si="5"/>
        <v>4396.52</v>
      </c>
      <c r="S47" s="186">
        <f t="shared" si="23"/>
        <v>1.2129098368594573</v>
      </c>
      <c r="T47" s="128">
        <f t="shared" si="10"/>
        <v>23620</v>
      </c>
      <c r="U47" s="131">
        <f t="shared" si="11"/>
        <v>25046.2</v>
      </c>
      <c r="V47" s="132">
        <f t="shared" si="12"/>
        <v>1426.2000000000007</v>
      </c>
      <c r="W47" s="173">
        <f>U47/T47</f>
        <v>1.060381033022862</v>
      </c>
      <c r="X47" s="264">
        <f t="shared" si="20"/>
        <v>0.9245071396629938</v>
      </c>
    </row>
    <row r="48" spans="1:24" s="6" customFormat="1" ht="15" customHeight="1" hidden="1">
      <c r="A48" s="8"/>
      <c r="B48" s="45" t="s">
        <v>85</v>
      </c>
      <c r="C48" s="86">
        <v>18050200</v>
      </c>
      <c r="D48" s="87">
        <v>0</v>
      </c>
      <c r="E48" s="87">
        <f>D48</f>
        <v>0</v>
      </c>
      <c r="F48" s="115">
        <v>0.01</v>
      </c>
      <c r="G48" s="87">
        <f>F48-E48</f>
        <v>0.01</v>
      </c>
      <c r="H48" s="277"/>
      <c r="I48" s="88">
        <f t="shared" si="1"/>
        <v>0.01</v>
      </c>
      <c r="J48" s="91"/>
      <c r="K48" s="88"/>
      <c r="L48" s="88"/>
      <c r="M48" s="88"/>
      <c r="N48" s="88">
        <v>0.01</v>
      </c>
      <c r="O48" s="88">
        <f t="shared" si="16"/>
        <v>-0.01</v>
      </c>
      <c r="P48" s="91">
        <f t="shared" si="17"/>
        <v>0</v>
      </c>
      <c r="Q48" s="105">
        <f>N48</f>
        <v>0.01</v>
      </c>
      <c r="R48" s="105">
        <f t="shared" si="5"/>
        <v>0</v>
      </c>
      <c r="S48" s="178">
        <f t="shared" si="23"/>
        <v>1</v>
      </c>
      <c r="T48" s="89">
        <f t="shared" si="10"/>
        <v>0</v>
      </c>
      <c r="U48" s="119">
        <f t="shared" si="11"/>
        <v>0.01</v>
      </c>
      <c r="V48" s="90">
        <f t="shared" si="12"/>
        <v>0.01</v>
      </c>
      <c r="W48" s="91"/>
      <c r="X48" s="264">
        <f t="shared" si="20"/>
        <v>1</v>
      </c>
    </row>
    <row r="49" spans="1:24" s="6" customFormat="1" ht="15" customHeight="1" hidden="1">
      <c r="A49" s="8"/>
      <c r="B49" s="45" t="s">
        <v>86</v>
      </c>
      <c r="C49" s="86">
        <v>18050300</v>
      </c>
      <c r="D49" s="87">
        <v>12600</v>
      </c>
      <c r="E49" s="87">
        <v>3600</v>
      </c>
      <c r="F49" s="115">
        <v>3883.87</v>
      </c>
      <c r="G49" s="87">
        <f>F49-E49</f>
        <v>283.8699999999999</v>
      </c>
      <c r="H49" s="277">
        <f>F49/E49</f>
        <v>1.0788527777777777</v>
      </c>
      <c r="I49" s="88">
        <f t="shared" si="1"/>
        <v>-8716.130000000001</v>
      </c>
      <c r="J49" s="91">
        <f>F49/D49</f>
        <v>0.3082436507936508</v>
      </c>
      <c r="K49" s="88"/>
      <c r="L49" s="88"/>
      <c r="M49" s="88"/>
      <c r="N49" s="88">
        <v>45030.34</v>
      </c>
      <c r="O49" s="88">
        <f t="shared" si="16"/>
        <v>-32430.339999999997</v>
      </c>
      <c r="P49" s="91">
        <f t="shared" si="17"/>
        <v>0.2798113449731892</v>
      </c>
      <c r="Q49" s="105">
        <v>3585.03</v>
      </c>
      <c r="R49" s="105">
        <f t="shared" si="5"/>
        <v>298.8399999999997</v>
      </c>
      <c r="S49" s="178">
        <f t="shared" si="23"/>
        <v>1.0833577403815309</v>
      </c>
      <c r="T49" s="89">
        <f t="shared" si="10"/>
        <v>3600</v>
      </c>
      <c r="U49" s="119">
        <f t="shared" si="11"/>
        <v>3883.87</v>
      </c>
      <c r="V49" s="90">
        <f t="shared" si="12"/>
        <v>283.8699999999999</v>
      </c>
      <c r="W49" s="91">
        <f>U49/T49</f>
        <v>1.0788527777777777</v>
      </c>
      <c r="X49" s="264">
        <f t="shared" si="20"/>
        <v>0.8035463954083417</v>
      </c>
    </row>
    <row r="50" spans="1:24" s="6" customFormat="1" ht="15" customHeight="1" hidden="1">
      <c r="A50" s="8"/>
      <c r="B50" s="45" t="s">
        <v>87</v>
      </c>
      <c r="C50" s="86">
        <v>18050400</v>
      </c>
      <c r="D50" s="87">
        <v>51800</v>
      </c>
      <c r="E50" s="87">
        <v>20000</v>
      </c>
      <c r="F50" s="115">
        <v>21140.49</v>
      </c>
      <c r="G50" s="87">
        <f>F50-E50</f>
        <v>1140.4900000000016</v>
      </c>
      <c r="H50" s="277">
        <f>F50/E50</f>
        <v>1.0570245</v>
      </c>
      <c r="I50" s="88">
        <f t="shared" si="1"/>
        <v>-30659.51</v>
      </c>
      <c r="J50" s="91">
        <f>F50/D50</f>
        <v>0.4081175675675676</v>
      </c>
      <c r="K50" s="88"/>
      <c r="L50" s="88"/>
      <c r="M50" s="88"/>
      <c r="N50" s="88">
        <v>178270.24</v>
      </c>
      <c r="O50" s="88">
        <f t="shared" si="16"/>
        <v>-126470.23999999999</v>
      </c>
      <c r="P50" s="91">
        <f t="shared" si="17"/>
        <v>0.29057009178873605</v>
      </c>
      <c r="Q50" s="105">
        <v>17048.54</v>
      </c>
      <c r="R50" s="105">
        <f t="shared" si="5"/>
        <v>4091.9500000000007</v>
      </c>
      <c r="S50" s="178">
        <f t="shared" si="23"/>
        <v>1.2400176202771616</v>
      </c>
      <c r="T50" s="89">
        <f t="shared" si="10"/>
        <v>20000</v>
      </c>
      <c r="U50" s="119">
        <f t="shared" si="11"/>
        <v>21140.49</v>
      </c>
      <c r="V50" s="90">
        <f t="shared" si="12"/>
        <v>1140.4900000000016</v>
      </c>
      <c r="W50" s="91">
        <f>U50/T50</f>
        <v>1.0570245</v>
      </c>
      <c r="X50" s="264">
        <f t="shared" si="20"/>
        <v>0.9494475284884255</v>
      </c>
    </row>
    <row r="51" spans="1:24" s="6" customFormat="1" ht="15" customHeight="1" hidden="1">
      <c r="A51" s="8"/>
      <c r="B51" s="45" t="s">
        <v>88</v>
      </c>
      <c r="C51" s="86">
        <v>18050500</v>
      </c>
      <c r="D51" s="87">
        <v>20</v>
      </c>
      <c r="E51" s="87">
        <v>20</v>
      </c>
      <c r="F51" s="115">
        <v>21.84</v>
      </c>
      <c r="G51" s="87">
        <f>F51-E51</f>
        <v>1.8399999999999999</v>
      </c>
      <c r="H51" s="277">
        <f>F51/E51</f>
        <v>1.092</v>
      </c>
      <c r="I51" s="88">
        <f t="shared" si="1"/>
        <v>1.8399999999999999</v>
      </c>
      <c r="J51" s="91">
        <f>F51/D51</f>
        <v>1.092</v>
      </c>
      <c r="K51" s="88"/>
      <c r="L51" s="88"/>
      <c r="M51" s="88"/>
      <c r="N51" s="88">
        <v>67.63</v>
      </c>
      <c r="O51" s="88">
        <f t="shared" si="16"/>
        <v>-47.629999999999995</v>
      </c>
      <c r="P51" s="91">
        <f t="shared" si="17"/>
        <v>0.29572674848440045</v>
      </c>
      <c r="Q51" s="105">
        <v>16.11</v>
      </c>
      <c r="R51" s="105">
        <f t="shared" si="5"/>
        <v>5.73</v>
      </c>
      <c r="S51" s="178">
        <f t="shared" si="23"/>
        <v>1.3556797020484173</v>
      </c>
      <c r="T51" s="89">
        <f t="shared" si="10"/>
        <v>20</v>
      </c>
      <c r="U51" s="119">
        <f t="shared" si="11"/>
        <v>21.84</v>
      </c>
      <c r="V51" s="90">
        <f t="shared" si="12"/>
        <v>1.8399999999999999</v>
      </c>
      <c r="W51" s="91"/>
      <c r="X51" s="264">
        <f t="shared" si="20"/>
        <v>1.0599529535640169</v>
      </c>
    </row>
    <row r="52" spans="1:24" s="6" customFormat="1" ht="15" customHeight="1" hidden="1">
      <c r="A52" s="8"/>
      <c r="B52" s="191"/>
      <c r="C52" s="38"/>
      <c r="D52" s="31">
        <v>0</v>
      </c>
      <c r="E52" s="31">
        <f>D52</f>
        <v>0</v>
      </c>
      <c r="F52" s="223">
        <v>0</v>
      </c>
      <c r="G52" s="31">
        <f>F52-E52</f>
        <v>0</v>
      </c>
      <c r="H52" s="276"/>
      <c r="I52" s="97">
        <f t="shared" si="1"/>
        <v>0</v>
      </c>
      <c r="J52" s="83"/>
      <c r="K52" s="34"/>
      <c r="L52" s="34"/>
      <c r="M52" s="34"/>
      <c r="N52" s="34"/>
      <c r="O52" s="34"/>
      <c r="P52" s="83"/>
      <c r="Q52" s="97">
        <v>0</v>
      </c>
      <c r="R52" s="97">
        <f t="shared" si="5"/>
        <v>0</v>
      </c>
      <c r="S52" s="179"/>
      <c r="T52" s="112">
        <f t="shared" si="10"/>
        <v>0</v>
      </c>
      <c r="U52" s="120">
        <f t="shared" si="11"/>
        <v>0</v>
      </c>
      <c r="V52" s="132">
        <f t="shared" si="12"/>
        <v>0</v>
      </c>
      <c r="W52" s="83"/>
      <c r="X52" s="264">
        <f t="shared" si="20"/>
        <v>0</v>
      </c>
    </row>
    <row r="53" spans="1:24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11921.8</v>
      </c>
      <c r="E53" s="124">
        <f>E54+E55+E56+E57+E58+E60+E62+E63+E64+E65+E66+E71+E72+E76+E59+E61</f>
        <v>2809.6</v>
      </c>
      <c r="F53" s="124">
        <f>F54+F55+F56+F57+F58+F60+F62+F63+F64+F65+F66+F71+F72+F76+F59+F61</f>
        <v>3247.7599999999993</v>
      </c>
      <c r="G53" s="124">
        <f>G54+G55+G56+G57+G58+G60+G62+G63+G64+G65+G66+G71+G72+G76+G59+G61</f>
        <v>438.15999999999985</v>
      </c>
      <c r="H53" s="168">
        <f aca="true" t="shared" si="24" ref="H53:H72">F53/E53</f>
        <v>1.1559510250569474</v>
      </c>
      <c r="I53" s="125">
        <f>F53-D53</f>
        <v>-8674.04</v>
      </c>
      <c r="J53" s="181">
        <f aca="true" t="shared" si="25" ref="J53:J72">F53/D53</f>
        <v>0.2724219497055813</v>
      </c>
      <c r="K53" s="125"/>
      <c r="L53" s="125"/>
      <c r="M53" s="125"/>
      <c r="N53" s="125">
        <v>69380.98</v>
      </c>
      <c r="O53" s="125">
        <f>D53-N53</f>
        <v>-57459.17999999999</v>
      </c>
      <c r="P53" s="181">
        <f>D53/N53</f>
        <v>0.17183095424711498</v>
      </c>
      <c r="Q53" s="221">
        <v>4227.73</v>
      </c>
      <c r="R53" s="124">
        <f t="shared" si="5"/>
        <v>-979.9700000000003</v>
      </c>
      <c r="S53" s="168">
        <f>F53/Q53</f>
        <v>0.7682042136087214</v>
      </c>
      <c r="T53" s="124">
        <f>T54+T55+T56+T57+T58+T60+T62+T63+T64+T65+T66+T71+T72+T76+T59+T61</f>
        <v>2809.6</v>
      </c>
      <c r="U53" s="124">
        <f>U54+U55+U56+U57+U58+U60+U62+U63+U64+U65+U66+U71+U72+U76+U59+U61</f>
        <v>3247.7599999999993</v>
      </c>
      <c r="V53" s="124">
        <f>V54+V55+V56+V57+V58+V60+V62+V63+V64+V65+V66+V71+V72+V76</f>
        <v>445.70999999999987</v>
      </c>
      <c r="W53" s="168">
        <f>U53/T53</f>
        <v>1.1559510250569474</v>
      </c>
      <c r="X53" s="264">
        <f t="shared" si="20"/>
        <v>0.5963732593616065</v>
      </c>
    </row>
    <row r="54" spans="1:24" s="6" customFormat="1" ht="46.5">
      <c r="A54" s="8"/>
      <c r="B54" s="185" t="s">
        <v>93</v>
      </c>
      <c r="C54" s="38">
        <v>21010301</v>
      </c>
      <c r="D54" s="123">
        <v>102</v>
      </c>
      <c r="E54" s="123">
        <v>1</v>
      </c>
      <c r="F54" s="127">
        <v>1.11</v>
      </c>
      <c r="G54" s="123">
        <f aca="true" t="shared" si="26" ref="G54:G78">F54-E54</f>
        <v>0.1100000000000001</v>
      </c>
      <c r="H54" s="281">
        <f t="shared" si="24"/>
        <v>1.11</v>
      </c>
      <c r="I54" s="136">
        <f>F54-D54</f>
        <v>-100.89</v>
      </c>
      <c r="J54" s="180">
        <f t="shared" si="25"/>
        <v>0.010882352941176471</v>
      </c>
      <c r="K54" s="136"/>
      <c r="L54" s="136"/>
      <c r="M54" s="136"/>
      <c r="N54" s="136">
        <v>2633.96</v>
      </c>
      <c r="O54" s="136">
        <f>D54-N54</f>
        <v>-2531.96</v>
      </c>
      <c r="P54" s="180">
        <f>D54/N54</f>
        <v>0.03872496165469483</v>
      </c>
      <c r="Q54" s="136">
        <v>8.18</v>
      </c>
      <c r="R54" s="136">
        <f t="shared" si="5"/>
        <v>-7.069999999999999</v>
      </c>
      <c r="S54" s="180">
        <f>F54/Q54</f>
        <v>0.13569682151589244</v>
      </c>
      <c r="T54" s="128">
        <f>E54</f>
        <v>1</v>
      </c>
      <c r="U54" s="131">
        <f>F54</f>
        <v>1.11</v>
      </c>
      <c r="V54" s="132">
        <f aca="true" t="shared" si="27" ref="V54:V78">U54-T54</f>
        <v>0.1100000000000001</v>
      </c>
      <c r="W54" s="180">
        <f>U54/T54</f>
        <v>1.11</v>
      </c>
      <c r="X54" s="264">
        <f t="shared" si="20"/>
        <v>0.0969718598611976</v>
      </c>
    </row>
    <row r="55" spans="1:24" s="6" customFormat="1" ht="30.75">
      <c r="A55" s="8"/>
      <c r="B55" s="107" t="s">
        <v>72</v>
      </c>
      <c r="C55" s="37">
        <v>21050000</v>
      </c>
      <c r="D55" s="123">
        <v>3000</v>
      </c>
      <c r="E55" s="123">
        <v>0</v>
      </c>
      <c r="F55" s="127">
        <v>0</v>
      </c>
      <c r="G55" s="123">
        <f t="shared" si="26"/>
        <v>0</v>
      </c>
      <c r="H55" s="281" t="e">
        <f t="shared" si="24"/>
        <v>#DIV/0!</v>
      </c>
      <c r="I55" s="136">
        <f aca="true" t="shared" si="28" ref="I55:I78">F55-D55</f>
        <v>-3000</v>
      </c>
      <c r="J55" s="180">
        <f t="shared" si="25"/>
        <v>0</v>
      </c>
      <c r="K55" s="136"/>
      <c r="L55" s="136"/>
      <c r="M55" s="136"/>
      <c r="N55" s="136">
        <v>27997.6</v>
      </c>
      <c r="O55" s="136">
        <f aca="true" t="shared" si="29" ref="O55:O72">D55-N55</f>
        <v>-24997.6</v>
      </c>
      <c r="P55" s="180">
        <f aca="true" t="shared" si="30" ref="P55:P72">D55/N55</f>
        <v>0.10715204160356602</v>
      </c>
      <c r="Q55" s="136">
        <v>0</v>
      </c>
      <c r="R55" s="136">
        <f t="shared" si="5"/>
        <v>0</v>
      </c>
      <c r="S55" s="180" t="e">
        <f aca="true" t="shared" si="31" ref="S55:S78">F55/Q55</f>
        <v>#DIV/0!</v>
      </c>
      <c r="T55" s="128">
        <f aca="true" t="shared" si="32" ref="T55:T66">E55</f>
        <v>0</v>
      </c>
      <c r="U55" s="131">
        <f aca="true" t="shared" si="33" ref="U55:U66">F55</f>
        <v>0</v>
      </c>
      <c r="V55" s="132">
        <f t="shared" si="27"/>
        <v>0</v>
      </c>
      <c r="W55" s="180" t="e">
        <f aca="true" t="shared" si="34" ref="W55:W77">U55/T55</f>
        <v>#DIV/0!</v>
      </c>
      <c r="X55" s="264" t="e">
        <f t="shared" si="20"/>
        <v>#DIV/0!</v>
      </c>
    </row>
    <row r="56" spans="1:24" s="6" customFormat="1" ht="18">
      <c r="A56" s="8"/>
      <c r="B56" s="107" t="s">
        <v>59</v>
      </c>
      <c r="C56" s="37">
        <v>21080500</v>
      </c>
      <c r="D56" s="123">
        <v>2</v>
      </c>
      <c r="E56" s="123">
        <v>0</v>
      </c>
      <c r="F56" s="127">
        <v>0</v>
      </c>
      <c r="G56" s="123">
        <f t="shared" si="26"/>
        <v>0</v>
      </c>
      <c r="H56" s="281" t="e">
        <f t="shared" si="24"/>
        <v>#DIV/0!</v>
      </c>
      <c r="I56" s="136">
        <f t="shared" si="28"/>
        <v>-2</v>
      </c>
      <c r="J56" s="180">
        <f t="shared" si="25"/>
        <v>0</v>
      </c>
      <c r="K56" s="136"/>
      <c r="L56" s="136"/>
      <c r="M56" s="136"/>
      <c r="N56" s="136">
        <v>153.3</v>
      </c>
      <c r="O56" s="136">
        <f t="shared" si="29"/>
        <v>-151.3</v>
      </c>
      <c r="P56" s="180">
        <f t="shared" si="30"/>
        <v>0.01304631441617743</v>
      </c>
      <c r="Q56" s="136">
        <v>14.87</v>
      </c>
      <c r="R56" s="136">
        <f t="shared" si="5"/>
        <v>-14.87</v>
      </c>
      <c r="S56" s="180">
        <f t="shared" si="31"/>
        <v>0</v>
      </c>
      <c r="T56" s="128">
        <f t="shared" si="32"/>
        <v>0</v>
      </c>
      <c r="U56" s="131">
        <f t="shared" si="33"/>
        <v>0</v>
      </c>
      <c r="V56" s="132">
        <f t="shared" si="27"/>
        <v>0</v>
      </c>
      <c r="W56" s="180" t="e">
        <f t="shared" si="34"/>
        <v>#DIV/0!</v>
      </c>
      <c r="X56" s="264">
        <f t="shared" si="20"/>
        <v>-0.01304631441617743</v>
      </c>
    </row>
    <row r="57" spans="1:24" s="6" customFormat="1" ht="31.5">
      <c r="A57" s="8"/>
      <c r="B57" s="195" t="s">
        <v>37</v>
      </c>
      <c r="C57" s="66">
        <v>21080900</v>
      </c>
      <c r="D57" s="123">
        <v>1.5</v>
      </c>
      <c r="E57" s="123">
        <v>0.5</v>
      </c>
      <c r="F57" s="127">
        <v>2.02</v>
      </c>
      <c r="G57" s="123">
        <f t="shared" si="26"/>
        <v>1.52</v>
      </c>
      <c r="H57" s="281">
        <f t="shared" si="24"/>
        <v>4.04</v>
      </c>
      <c r="I57" s="136">
        <f t="shared" si="28"/>
        <v>0.52</v>
      </c>
      <c r="J57" s="180">
        <f t="shared" si="25"/>
        <v>1.3466666666666667</v>
      </c>
      <c r="K57" s="136"/>
      <c r="L57" s="136"/>
      <c r="M57" s="136"/>
      <c r="N57" s="136">
        <v>12.95</v>
      </c>
      <c r="O57" s="136">
        <f t="shared" si="29"/>
        <v>-11.45</v>
      </c>
      <c r="P57" s="293">
        <f t="shared" si="30"/>
        <v>0.11583011583011583</v>
      </c>
      <c r="Q57" s="136">
        <v>0</v>
      </c>
      <c r="R57" s="136">
        <f t="shared" si="5"/>
        <v>2.02</v>
      </c>
      <c r="S57" s="180"/>
      <c r="T57" s="128">
        <f t="shared" si="32"/>
        <v>0.5</v>
      </c>
      <c r="U57" s="131">
        <f t="shared" si="33"/>
        <v>2.02</v>
      </c>
      <c r="V57" s="132">
        <f t="shared" si="27"/>
        <v>1.52</v>
      </c>
      <c r="W57" s="180">
        <f t="shared" si="34"/>
        <v>4.04</v>
      </c>
      <c r="X57" s="264">
        <f t="shared" si="20"/>
        <v>-0.11583011583011583</v>
      </c>
    </row>
    <row r="58" spans="1:24" s="6" customFormat="1" ht="18">
      <c r="A58" s="8"/>
      <c r="B58" s="108" t="s">
        <v>16</v>
      </c>
      <c r="C58" s="67">
        <v>21081100</v>
      </c>
      <c r="D58" s="123">
        <v>60</v>
      </c>
      <c r="E58" s="123">
        <v>20</v>
      </c>
      <c r="F58" s="127">
        <v>28.43</v>
      </c>
      <c r="G58" s="123">
        <f t="shared" si="26"/>
        <v>8.43</v>
      </c>
      <c r="H58" s="281">
        <f t="shared" si="24"/>
        <v>1.4215</v>
      </c>
      <c r="I58" s="136">
        <f t="shared" si="28"/>
        <v>-31.57</v>
      </c>
      <c r="J58" s="180">
        <f t="shared" si="25"/>
        <v>0.47383333333333333</v>
      </c>
      <c r="K58" s="136"/>
      <c r="L58" s="136"/>
      <c r="M58" s="136"/>
      <c r="N58" s="136">
        <v>705.31</v>
      </c>
      <c r="O58" s="136">
        <f t="shared" si="29"/>
        <v>-645.31</v>
      </c>
      <c r="P58" s="180">
        <f t="shared" si="30"/>
        <v>0.08506897676199118</v>
      </c>
      <c r="Q58" s="136">
        <v>11.17</v>
      </c>
      <c r="R58" s="136">
        <f t="shared" si="5"/>
        <v>17.259999999999998</v>
      </c>
      <c r="S58" s="180">
        <f t="shared" si="31"/>
        <v>2.5452103849597134</v>
      </c>
      <c r="T58" s="128">
        <f t="shared" si="32"/>
        <v>20</v>
      </c>
      <c r="U58" s="131">
        <f t="shared" si="33"/>
        <v>28.43</v>
      </c>
      <c r="V58" s="132">
        <f t="shared" si="27"/>
        <v>8.43</v>
      </c>
      <c r="W58" s="180">
        <f t="shared" si="34"/>
        <v>1.4215</v>
      </c>
      <c r="X58" s="264">
        <f t="shared" si="20"/>
        <v>2.4601414081977224</v>
      </c>
    </row>
    <row r="59" spans="1:24" s="6" customFormat="1" ht="46.5">
      <c r="A59" s="8"/>
      <c r="B59" s="250" t="s">
        <v>75</v>
      </c>
      <c r="C59" s="67">
        <v>21081500</v>
      </c>
      <c r="D59" s="123">
        <v>3</v>
      </c>
      <c r="E59" s="123">
        <v>1</v>
      </c>
      <c r="F59" s="127">
        <v>-6.55</v>
      </c>
      <c r="G59" s="123">
        <f t="shared" si="26"/>
        <v>-7.55</v>
      </c>
      <c r="H59" s="281">
        <f t="shared" si="24"/>
        <v>-6.55</v>
      </c>
      <c r="I59" s="136">
        <f t="shared" si="28"/>
        <v>-9.55</v>
      </c>
      <c r="J59" s="180">
        <f t="shared" si="25"/>
        <v>-2.183333333333333</v>
      </c>
      <c r="K59" s="136"/>
      <c r="L59" s="136"/>
      <c r="M59" s="136"/>
      <c r="N59" s="136">
        <v>114.3</v>
      </c>
      <c r="O59" s="136">
        <f t="shared" si="29"/>
        <v>-111.3</v>
      </c>
      <c r="P59" s="180">
        <f t="shared" si="30"/>
        <v>0.026246719160104987</v>
      </c>
      <c r="Q59" s="136">
        <v>0</v>
      </c>
      <c r="R59" s="136">
        <f t="shared" si="5"/>
        <v>-6.55</v>
      </c>
      <c r="S59" s="180" t="e">
        <f t="shared" si="31"/>
        <v>#DIV/0!</v>
      </c>
      <c r="T59" s="128">
        <f t="shared" si="32"/>
        <v>1</v>
      </c>
      <c r="U59" s="131">
        <f t="shared" si="33"/>
        <v>-6.55</v>
      </c>
      <c r="V59" s="132">
        <f t="shared" si="27"/>
        <v>-7.55</v>
      </c>
      <c r="W59" s="180">
        <f t="shared" si="34"/>
        <v>-6.55</v>
      </c>
      <c r="X59" s="264" t="e">
        <f t="shared" si="20"/>
        <v>#DIV/0!</v>
      </c>
    </row>
    <row r="60" spans="1:24" s="6" customFormat="1" ht="30.75">
      <c r="A60" s="8"/>
      <c r="B60" s="250" t="s">
        <v>97</v>
      </c>
      <c r="C60" s="44">
        <v>22010300</v>
      </c>
      <c r="D60" s="123">
        <v>265</v>
      </c>
      <c r="E60" s="123">
        <v>85</v>
      </c>
      <c r="F60" s="127">
        <v>89.19</v>
      </c>
      <c r="G60" s="123">
        <f t="shared" si="26"/>
        <v>4.189999999999998</v>
      </c>
      <c r="H60" s="281">
        <f t="shared" si="24"/>
        <v>1.0492941176470587</v>
      </c>
      <c r="I60" s="136">
        <f t="shared" si="28"/>
        <v>-175.81</v>
      </c>
      <c r="J60" s="180">
        <f t="shared" si="25"/>
        <v>0.33656603773584903</v>
      </c>
      <c r="K60" s="136"/>
      <c r="L60" s="136"/>
      <c r="M60" s="136"/>
      <c r="N60" s="136">
        <v>1205.14</v>
      </c>
      <c r="O60" s="136">
        <f t="shared" si="29"/>
        <v>-940.1400000000001</v>
      </c>
      <c r="P60" s="180">
        <f t="shared" si="30"/>
        <v>0.21989146489204572</v>
      </c>
      <c r="Q60" s="136">
        <v>89.45</v>
      </c>
      <c r="R60" s="136">
        <f t="shared" si="5"/>
        <v>-0.2600000000000051</v>
      </c>
      <c r="S60" s="180">
        <f t="shared" si="31"/>
        <v>0.9970933482392398</v>
      </c>
      <c r="T60" s="128">
        <f t="shared" si="32"/>
        <v>85</v>
      </c>
      <c r="U60" s="131">
        <f t="shared" si="33"/>
        <v>89.19</v>
      </c>
      <c r="V60" s="132">
        <f t="shared" si="27"/>
        <v>4.189999999999998</v>
      </c>
      <c r="W60" s="180">
        <f t="shared" si="34"/>
        <v>1.0492941176470587</v>
      </c>
      <c r="X60" s="264">
        <f t="shared" si="20"/>
        <v>0.7772018833471941</v>
      </c>
    </row>
    <row r="61" spans="1:24" s="6" customFormat="1" ht="18">
      <c r="A61" s="8"/>
      <c r="B61" s="108" t="s">
        <v>127</v>
      </c>
      <c r="C61" s="44">
        <v>22010200</v>
      </c>
      <c r="D61" s="123">
        <v>0</v>
      </c>
      <c r="E61" s="123">
        <v>0</v>
      </c>
      <c r="F61" s="127">
        <v>0</v>
      </c>
      <c r="G61" s="123">
        <f t="shared" si="26"/>
        <v>0</v>
      </c>
      <c r="H61" s="281" t="e">
        <f t="shared" si="24"/>
        <v>#DIV/0!</v>
      </c>
      <c r="I61" s="136">
        <f t="shared" si="28"/>
        <v>0</v>
      </c>
      <c r="J61" s="180" t="e">
        <f t="shared" si="25"/>
        <v>#DIV/0!</v>
      </c>
      <c r="K61" s="136"/>
      <c r="L61" s="136"/>
      <c r="M61" s="136"/>
      <c r="N61" s="136">
        <v>23.38</v>
      </c>
      <c r="O61" s="136">
        <f t="shared" si="29"/>
        <v>-23.38</v>
      </c>
      <c r="P61" s="180">
        <f t="shared" si="30"/>
        <v>0</v>
      </c>
      <c r="Q61" s="136">
        <v>0</v>
      </c>
      <c r="R61" s="136">
        <f t="shared" si="5"/>
        <v>0</v>
      </c>
      <c r="S61" s="180"/>
      <c r="T61" s="128">
        <f t="shared" si="32"/>
        <v>0</v>
      </c>
      <c r="U61" s="131">
        <f t="shared" si="33"/>
        <v>0</v>
      </c>
      <c r="V61" s="132">
        <f t="shared" si="27"/>
        <v>0</v>
      </c>
      <c r="W61" s="180" t="e">
        <f t="shared" si="34"/>
        <v>#DIV/0!</v>
      </c>
      <c r="X61" s="264">
        <f t="shared" si="20"/>
        <v>0</v>
      </c>
    </row>
    <row r="62" spans="1:24" s="6" customFormat="1" ht="18">
      <c r="A62" s="8"/>
      <c r="B62" s="256" t="s">
        <v>73</v>
      </c>
      <c r="C62" s="67">
        <v>22012500</v>
      </c>
      <c r="D62" s="123">
        <v>4900</v>
      </c>
      <c r="E62" s="123">
        <v>1500</v>
      </c>
      <c r="F62" s="127">
        <v>1894.1</v>
      </c>
      <c r="G62" s="123">
        <f t="shared" si="26"/>
        <v>394.0999999999999</v>
      </c>
      <c r="H62" s="281">
        <f t="shared" si="24"/>
        <v>1.2627333333333333</v>
      </c>
      <c r="I62" s="136">
        <f t="shared" si="28"/>
        <v>-3005.9</v>
      </c>
      <c r="J62" s="180">
        <f t="shared" si="25"/>
        <v>0.38655102040816325</v>
      </c>
      <c r="K62" s="136"/>
      <c r="L62" s="136"/>
      <c r="M62" s="136"/>
      <c r="N62" s="136">
        <v>20110.14</v>
      </c>
      <c r="O62" s="136">
        <f t="shared" si="29"/>
        <v>-15210.14</v>
      </c>
      <c r="P62" s="180">
        <f t="shared" si="30"/>
        <v>0.2436581744333953</v>
      </c>
      <c r="Q62" s="136">
        <v>1052.56</v>
      </c>
      <c r="R62" s="136">
        <f t="shared" si="5"/>
        <v>841.54</v>
      </c>
      <c r="S62" s="180">
        <f t="shared" si="31"/>
        <v>1.7995173671809683</v>
      </c>
      <c r="T62" s="128">
        <f t="shared" si="32"/>
        <v>1500</v>
      </c>
      <c r="U62" s="131">
        <f t="shared" si="33"/>
        <v>1894.1</v>
      </c>
      <c r="V62" s="132">
        <f t="shared" si="27"/>
        <v>394.0999999999999</v>
      </c>
      <c r="W62" s="180">
        <f t="shared" si="34"/>
        <v>1.2627333333333333</v>
      </c>
      <c r="X62" s="264">
        <f t="shared" si="20"/>
        <v>1.5558591927475731</v>
      </c>
    </row>
    <row r="63" spans="1:24" s="6" customFormat="1" ht="31.5">
      <c r="A63" s="8"/>
      <c r="B63" s="256" t="s">
        <v>94</v>
      </c>
      <c r="C63" s="67">
        <v>22012600</v>
      </c>
      <c r="D63" s="123">
        <v>255</v>
      </c>
      <c r="E63" s="123">
        <v>85</v>
      </c>
      <c r="F63" s="127">
        <v>59.37</v>
      </c>
      <c r="G63" s="123">
        <f t="shared" si="26"/>
        <v>-25.630000000000003</v>
      </c>
      <c r="H63" s="281">
        <f t="shared" si="24"/>
        <v>0.6984705882352941</v>
      </c>
      <c r="I63" s="136">
        <f t="shared" si="28"/>
        <v>-195.63</v>
      </c>
      <c r="J63" s="180">
        <f t="shared" si="25"/>
        <v>0.2328235294117647</v>
      </c>
      <c r="K63" s="136"/>
      <c r="L63" s="136"/>
      <c r="M63" s="136"/>
      <c r="N63" s="136">
        <v>710.04</v>
      </c>
      <c r="O63" s="136">
        <f t="shared" si="29"/>
        <v>-455.03999999999996</v>
      </c>
      <c r="P63" s="180">
        <f t="shared" si="30"/>
        <v>0.3591346966368092</v>
      </c>
      <c r="Q63" s="136">
        <v>44.53</v>
      </c>
      <c r="R63" s="136">
        <f t="shared" si="5"/>
        <v>14.839999999999996</v>
      </c>
      <c r="S63" s="180">
        <f t="shared" si="31"/>
        <v>1.3332584774309453</v>
      </c>
      <c r="T63" s="128">
        <f t="shared" si="32"/>
        <v>85</v>
      </c>
      <c r="U63" s="131">
        <f t="shared" si="33"/>
        <v>59.37</v>
      </c>
      <c r="V63" s="132">
        <f t="shared" si="27"/>
        <v>-25.630000000000003</v>
      </c>
      <c r="W63" s="180">
        <f t="shared" si="34"/>
        <v>0.6984705882352941</v>
      </c>
      <c r="X63" s="264">
        <f t="shared" si="20"/>
        <v>0.9741237807941361</v>
      </c>
    </row>
    <row r="64" spans="1:24" s="6" customFormat="1" ht="31.5">
      <c r="A64" s="8"/>
      <c r="B64" s="30" t="s">
        <v>98</v>
      </c>
      <c r="C64" s="67">
        <v>22012900</v>
      </c>
      <c r="D64" s="123">
        <v>3</v>
      </c>
      <c r="E64" s="123">
        <v>1</v>
      </c>
      <c r="F64" s="127">
        <v>1.06</v>
      </c>
      <c r="G64" s="123">
        <f t="shared" si="26"/>
        <v>0.06000000000000005</v>
      </c>
      <c r="H64" s="281">
        <f t="shared" si="24"/>
        <v>1.06</v>
      </c>
      <c r="I64" s="136">
        <f t="shared" si="28"/>
        <v>-1.94</v>
      </c>
      <c r="J64" s="180">
        <f t="shared" si="25"/>
        <v>0.35333333333333333</v>
      </c>
      <c r="K64" s="136"/>
      <c r="L64" s="136"/>
      <c r="M64" s="136"/>
      <c r="N64" s="136">
        <v>41.44</v>
      </c>
      <c r="O64" s="136">
        <f t="shared" si="29"/>
        <v>-38.44</v>
      </c>
      <c r="P64" s="180">
        <f t="shared" si="30"/>
        <v>0.0723938223938224</v>
      </c>
      <c r="Q64" s="136">
        <v>0</v>
      </c>
      <c r="R64" s="136">
        <f t="shared" si="5"/>
        <v>1.06</v>
      </c>
      <c r="S64" s="180" t="e">
        <f t="shared" si="31"/>
        <v>#DIV/0!</v>
      </c>
      <c r="T64" s="128">
        <f t="shared" si="32"/>
        <v>1</v>
      </c>
      <c r="U64" s="131">
        <f t="shared" si="33"/>
        <v>1.06</v>
      </c>
      <c r="V64" s="132">
        <f t="shared" si="27"/>
        <v>0.06000000000000005</v>
      </c>
      <c r="W64" s="180">
        <f t="shared" si="34"/>
        <v>1.06</v>
      </c>
      <c r="X64" s="264" t="e">
        <f t="shared" si="20"/>
        <v>#DIV/0!</v>
      </c>
    </row>
    <row r="65" spans="1:24" s="6" customFormat="1" ht="30.75">
      <c r="A65" s="8"/>
      <c r="B65" s="108" t="s">
        <v>14</v>
      </c>
      <c r="C65" s="44">
        <v>22080400</v>
      </c>
      <c r="D65" s="123">
        <v>1590</v>
      </c>
      <c r="E65" s="123">
        <v>530</v>
      </c>
      <c r="F65" s="127">
        <v>564.14</v>
      </c>
      <c r="G65" s="123">
        <f t="shared" si="26"/>
        <v>34.139999999999986</v>
      </c>
      <c r="H65" s="281">
        <f t="shared" si="24"/>
        <v>1.0644150943396227</v>
      </c>
      <c r="I65" s="136">
        <f t="shared" si="28"/>
        <v>-1025.8600000000001</v>
      </c>
      <c r="J65" s="180">
        <f t="shared" si="25"/>
        <v>0.35480503144654085</v>
      </c>
      <c r="K65" s="136"/>
      <c r="L65" s="136"/>
      <c r="M65" s="136"/>
      <c r="N65" s="136">
        <v>6545.96</v>
      </c>
      <c r="O65" s="136">
        <f t="shared" si="29"/>
        <v>-4955.96</v>
      </c>
      <c r="P65" s="180">
        <f t="shared" si="30"/>
        <v>0.24289790955031806</v>
      </c>
      <c r="Q65" s="136">
        <v>684.99</v>
      </c>
      <c r="R65" s="136">
        <f t="shared" si="5"/>
        <v>-120.85000000000002</v>
      </c>
      <c r="S65" s="180">
        <f t="shared" si="31"/>
        <v>0.8235740667746974</v>
      </c>
      <c r="T65" s="128">
        <f t="shared" si="32"/>
        <v>530</v>
      </c>
      <c r="U65" s="131">
        <f t="shared" si="33"/>
        <v>564.14</v>
      </c>
      <c r="V65" s="132">
        <f t="shared" si="27"/>
        <v>34.139999999999986</v>
      </c>
      <c r="W65" s="180">
        <f t="shared" si="34"/>
        <v>1.0644150943396227</v>
      </c>
      <c r="X65" s="264">
        <f t="shared" si="20"/>
        <v>0.5806761572243793</v>
      </c>
    </row>
    <row r="66" spans="1:24" s="6" customFormat="1" ht="19.5" customHeight="1">
      <c r="A66" s="8"/>
      <c r="B66" s="108" t="s">
        <v>15</v>
      </c>
      <c r="C66" s="38">
        <v>22090000</v>
      </c>
      <c r="D66" s="123">
        <v>230.3</v>
      </c>
      <c r="E66" s="123">
        <v>76.1</v>
      </c>
      <c r="F66" s="127">
        <v>46.24</v>
      </c>
      <c r="G66" s="123">
        <f t="shared" si="26"/>
        <v>-29.859999999999992</v>
      </c>
      <c r="H66" s="281">
        <f t="shared" si="24"/>
        <v>0.6076215505913273</v>
      </c>
      <c r="I66" s="136">
        <f t="shared" si="28"/>
        <v>-184.06</v>
      </c>
      <c r="J66" s="180">
        <f t="shared" si="25"/>
        <v>0.20078158923143724</v>
      </c>
      <c r="K66" s="136"/>
      <c r="L66" s="136"/>
      <c r="M66" s="136"/>
      <c r="N66" s="136">
        <v>896.22</v>
      </c>
      <c r="O66" s="136">
        <f t="shared" si="29"/>
        <v>-665.9200000000001</v>
      </c>
      <c r="P66" s="180">
        <f t="shared" si="30"/>
        <v>0.2569681551404789</v>
      </c>
      <c r="Q66" s="136">
        <v>40.09</v>
      </c>
      <c r="R66" s="136">
        <f t="shared" si="5"/>
        <v>6.149999999999999</v>
      </c>
      <c r="S66" s="180">
        <f t="shared" si="31"/>
        <v>1.153404839111998</v>
      </c>
      <c r="T66" s="128">
        <f t="shared" si="32"/>
        <v>76.1</v>
      </c>
      <c r="U66" s="131">
        <f t="shared" si="33"/>
        <v>46.24</v>
      </c>
      <c r="V66" s="132">
        <f t="shared" si="27"/>
        <v>-29.859999999999992</v>
      </c>
      <c r="W66" s="180">
        <f t="shared" si="34"/>
        <v>0.6076215505913273</v>
      </c>
      <c r="X66" s="264">
        <f t="shared" si="20"/>
        <v>0.8964366839715191</v>
      </c>
    </row>
    <row r="67" spans="1:24" s="6" customFormat="1" ht="15" hidden="1">
      <c r="A67" s="8"/>
      <c r="B67" s="262" t="s">
        <v>92</v>
      </c>
      <c r="C67" s="162">
        <v>22090100</v>
      </c>
      <c r="D67" s="87">
        <v>200</v>
      </c>
      <c r="E67" s="87">
        <v>66</v>
      </c>
      <c r="F67" s="115">
        <v>34.42</v>
      </c>
      <c r="G67" s="87">
        <f t="shared" si="26"/>
        <v>-31.58</v>
      </c>
      <c r="H67" s="277">
        <f t="shared" si="24"/>
        <v>0.5215151515151515</v>
      </c>
      <c r="I67" s="88">
        <f t="shared" si="28"/>
        <v>-165.57999999999998</v>
      </c>
      <c r="J67" s="91">
        <f t="shared" si="25"/>
        <v>0.1721</v>
      </c>
      <c r="K67" s="88"/>
      <c r="L67" s="88"/>
      <c r="M67" s="88"/>
      <c r="N67" s="88">
        <v>760.62</v>
      </c>
      <c r="O67" s="88">
        <f t="shared" si="29"/>
        <v>-560.62</v>
      </c>
      <c r="P67" s="91">
        <f t="shared" si="30"/>
        <v>0.2629433882885015</v>
      </c>
      <c r="Q67" s="88">
        <v>32.81</v>
      </c>
      <c r="R67" s="271">
        <f t="shared" si="5"/>
        <v>1.6099999999999994</v>
      </c>
      <c r="S67" s="272">
        <f t="shared" si="31"/>
        <v>1.0490704053642181</v>
      </c>
      <c r="T67" s="89">
        <f aca="true" t="shared" si="35" ref="T67:U71">E67</f>
        <v>66</v>
      </c>
      <c r="U67" s="119">
        <f t="shared" si="35"/>
        <v>34.42</v>
      </c>
      <c r="V67" s="90">
        <f t="shared" si="27"/>
        <v>-31.58</v>
      </c>
      <c r="W67" s="91">
        <f t="shared" si="34"/>
        <v>0.5215151515151515</v>
      </c>
      <c r="X67" s="264">
        <f t="shared" si="20"/>
        <v>0.7861270170757166</v>
      </c>
    </row>
    <row r="68" spans="1:24" s="6" customFormat="1" ht="15" hidden="1">
      <c r="A68" s="8"/>
      <c r="B68" s="262" t="s">
        <v>89</v>
      </c>
      <c r="C68" s="162">
        <v>22090200</v>
      </c>
      <c r="D68" s="87">
        <v>0.3</v>
      </c>
      <c r="E68" s="87">
        <v>0.1</v>
      </c>
      <c r="F68" s="115">
        <v>0</v>
      </c>
      <c r="G68" s="87">
        <f t="shared" si="26"/>
        <v>-0.1</v>
      </c>
      <c r="H68" s="277">
        <f t="shared" si="24"/>
        <v>0</v>
      </c>
      <c r="I68" s="88">
        <f t="shared" si="28"/>
        <v>-0.3</v>
      </c>
      <c r="J68" s="91">
        <f t="shared" si="25"/>
        <v>0</v>
      </c>
      <c r="K68" s="88"/>
      <c r="L68" s="88"/>
      <c r="M68" s="88"/>
      <c r="N68" s="88">
        <v>0.18</v>
      </c>
      <c r="O68" s="88">
        <f t="shared" si="29"/>
        <v>0.12</v>
      </c>
      <c r="P68" s="91">
        <f t="shared" si="30"/>
        <v>1.6666666666666667</v>
      </c>
      <c r="Q68" s="88">
        <v>0.01</v>
      </c>
      <c r="R68" s="271">
        <f t="shared" si="5"/>
        <v>-0.01</v>
      </c>
      <c r="S68" s="272">
        <f t="shared" si="31"/>
        <v>0</v>
      </c>
      <c r="T68" s="89">
        <f t="shared" si="35"/>
        <v>0.1</v>
      </c>
      <c r="U68" s="119">
        <f t="shared" si="35"/>
        <v>0</v>
      </c>
      <c r="V68" s="90">
        <f t="shared" si="27"/>
        <v>-0.1</v>
      </c>
      <c r="W68" s="91"/>
      <c r="X68" s="264">
        <f t="shared" si="20"/>
        <v>-1.6666666666666667</v>
      </c>
    </row>
    <row r="69" spans="1:24" s="6" customFormat="1" ht="15" hidden="1">
      <c r="A69" s="8"/>
      <c r="B69" s="262" t="s">
        <v>90</v>
      </c>
      <c r="C69" s="101">
        <v>22090300</v>
      </c>
      <c r="D69" s="87">
        <v>0</v>
      </c>
      <c r="E69" s="87">
        <v>0</v>
      </c>
      <c r="F69" s="115">
        <v>0</v>
      </c>
      <c r="G69" s="87">
        <f t="shared" si="26"/>
        <v>0</v>
      </c>
      <c r="H69" s="277" t="e">
        <f t="shared" si="24"/>
        <v>#DIV/0!</v>
      </c>
      <c r="I69" s="88">
        <f t="shared" si="28"/>
        <v>0</v>
      </c>
      <c r="J69" s="91" t="e">
        <f t="shared" si="25"/>
        <v>#DIV/0!</v>
      </c>
      <c r="K69" s="88"/>
      <c r="L69" s="88"/>
      <c r="M69" s="88"/>
      <c r="N69" s="88">
        <v>0</v>
      </c>
      <c r="O69" s="88">
        <f t="shared" si="29"/>
        <v>0</v>
      </c>
      <c r="P69" s="91" t="e">
        <f t="shared" si="30"/>
        <v>#DIV/0!</v>
      </c>
      <c r="Q69" s="88">
        <f>N69</f>
        <v>0</v>
      </c>
      <c r="R69" s="271">
        <f t="shared" si="5"/>
        <v>0</v>
      </c>
      <c r="S69" s="272" t="e">
        <f t="shared" si="31"/>
        <v>#DIV/0!</v>
      </c>
      <c r="T69" s="89">
        <f t="shared" si="35"/>
        <v>0</v>
      </c>
      <c r="U69" s="119">
        <f t="shared" si="35"/>
        <v>0</v>
      </c>
      <c r="V69" s="90">
        <f t="shared" si="27"/>
        <v>0</v>
      </c>
      <c r="W69" s="91"/>
      <c r="X69" s="264" t="e">
        <f t="shared" si="20"/>
        <v>#DIV/0!</v>
      </c>
    </row>
    <row r="70" spans="1:24" s="6" customFormat="1" ht="15" hidden="1">
      <c r="A70" s="8"/>
      <c r="B70" s="262" t="s">
        <v>91</v>
      </c>
      <c r="C70" s="162">
        <v>22090400</v>
      </c>
      <c r="D70" s="87">
        <v>30</v>
      </c>
      <c r="E70" s="87">
        <v>10</v>
      </c>
      <c r="F70" s="115">
        <v>11.82</v>
      </c>
      <c r="G70" s="87">
        <f t="shared" si="26"/>
        <v>1.8200000000000003</v>
      </c>
      <c r="H70" s="277">
        <f t="shared" si="24"/>
        <v>1.182</v>
      </c>
      <c r="I70" s="88">
        <f t="shared" si="28"/>
        <v>-18.18</v>
      </c>
      <c r="J70" s="91">
        <f t="shared" si="25"/>
        <v>0.394</v>
      </c>
      <c r="K70" s="88"/>
      <c r="L70" s="88"/>
      <c r="M70" s="88"/>
      <c r="N70" s="88">
        <v>135.42</v>
      </c>
      <c r="O70" s="88">
        <f t="shared" si="29"/>
        <v>-105.41999999999999</v>
      </c>
      <c r="P70" s="91">
        <f t="shared" si="30"/>
        <v>0.22153300841825435</v>
      </c>
      <c r="Q70" s="88">
        <v>7.27</v>
      </c>
      <c r="R70" s="271">
        <f t="shared" si="5"/>
        <v>4.550000000000001</v>
      </c>
      <c r="S70" s="272">
        <f t="shared" si="31"/>
        <v>1.62585969738652</v>
      </c>
      <c r="T70" s="89">
        <f t="shared" si="35"/>
        <v>10</v>
      </c>
      <c r="U70" s="119">
        <f t="shared" si="35"/>
        <v>11.82</v>
      </c>
      <c r="V70" s="90">
        <f t="shared" si="27"/>
        <v>1.8200000000000003</v>
      </c>
      <c r="W70" s="91">
        <f t="shared" si="34"/>
        <v>1.182</v>
      </c>
      <c r="X70" s="264">
        <f t="shared" si="20"/>
        <v>1.4043266889682657</v>
      </c>
    </row>
    <row r="71" spans="1:24" s="6" customFormat="1" ht="46.5">
      <c r="A71" s="8"/>
      <c r="B71" s="108" t="s">
        <v>17</v>
      </c>
      <c r="C71" s="11" t="s">
        <v>18</v>
      </c>
      <c r="D71" s="123">
        <v>0</v>
      </c>
      <c r="E71" s="123">
        <v>0</v>
      </c>
      <c r="F71" s="127">
        <v>0</v>
      </c>
      <c r="G71" s="123">
        <f t="shared" si="26"/>
        <v>0</v>
      </c>
      <c r="H71" s="281" t="e">
        <f t="shared" si="24"/>
        <v>#DIV/0!</v>
      </c>
      <c r="I71" s="136">
        <f t="shared" si="28"/>
        <v>0</v>
      </c>
      <c r="J71" s="180" t="e">
        <f t="shared" si="25"/>
        <v>#DIV/0!</v>
      </c>
      <c r="K71" s="136"/>
      <c r="L71" s="136"/>
      <c r="M71" s="136"/>
      <c r="N71" s="136">
        <v>2.04</v>
      </c>
      <c r="O71" s="136">
        <f t="shared" si="29"/>
        <v>-2.04</v>
      </c>
      <c r="P71" s="180">
        <f t="shared" si="30"/>
        <v>0</v>
      </c>
      <c r="Q71" s="136">
        <v>1.67</v>
      </c>
      <c r="R71" s="136">
        <f t="shared" si="5"/>
        <v>-1.67</v>
      </c>
      <c r="S71" s="180">
        <f t="shared" si="31"/>
        <v>0</v>
      </c>
      <c r="T71" s="128">
        <f t="shared" si="35"/>
        <v>0</v>
      </c>
      <c r="U71" s="131">
        <f t="shared" si="35"/>
        <v>0</v>
      </c>
      <c r="V71" s="132">
        <f t="shared" si="27"/>
        <v>0</v>
      </c>
      <c r="W71" s="180"/>
      <c r="X71" s="264">
        <f t="shared" si="20"/>
        <v>0</v>
      </c>
    </row>
    <row r="72" spans="1:24" s="6" customFormat="1" ht="15.75" customHeight="1">
      <c r="A72" s="8"/>
      <c r="B72" s="109" t="s">
        <v>13</v>
      </c>
      <c r="C72" s="11" t="s">
        <v>19</v>
      </c>
      <c r="D72" s="123">
        <v>1500</v>
      </c>
      <c r="E72" s="123">
        <v>500</v>
      </c>
      <c r="F72" s="127">
        <v>568.65</v>
      </c>
      <c r="G72" s="123">
        <f t="shared" si="26"/>
        <v>68.64999999999998</v>
      </c>
      <c r="H72" s="281">
        <f t="shared" si="24"/>
        <v>1.1373</v>
      </c>
      <c r="I72" s="136">
        <f t="shared" si="28"/>
        <v>-931.35</v>
      </c>
      <c r="J72" s="180">
        <f t="shared" si="25"/>
        <v>0.3791</v>
      </c>
      <c r="K72" s="136"/>
      <c r="L72" s="136"/>
      <c r="M72" s="136"/>
      <c r="N72" s="136">
        <v>8086.92</v>
      </c>
      <c r="O72" s="136">
        <f t="shared" si="29"/>
        <v>-6586.92</v>
      </c>
      <c r="P72" s="180">
        <f t="shared" si="30"/>
        <v>0.18548470864061967</v>
      </c>
      <c r="Q72" s="136">
        <v>2247.33</v>
      </c>
      <c r="R72" s="136">
        <f t="shared" si="5"/>
        <v>-1678.6799999999998</v>
      </c>
      <c r="S72" s="180">
        <f t="shared" si="31"/>
        <v>0.2530335998718479</v>
      </c>
      <c r="T72" s="128">
        <f aca="true" t="shared" si="36" ref="T72:T78">E72</f>
        <v>500</v>
      </c>
      <c r="U72" s="131">
        <f aca="true" t="shared" si="37" ref="U72:U78">F72</f>
        <v>568.65</v>
      </c>
      <c r="V72" s="132">
        <f t="shared" si="27"/>
        <v>68.64999999999998</v>
      </c>
      <c r="W72" s="180">
        <f t="shared" si="34"/>
        <v>1.1373</v>
      </c>
      <c r="X72" s="264">
        <f t="shared" si="20"/>
        <v>0.06754889123122826</v>
      </c>
    </row>
    <row r="73" spans="1:24" s="6" customFormat="1" ht="18" hidden="1">
      <c r="A73" s="8"/>
      <c r="B73" s="12" t="s">
        <v>22</v>
      </c>
      <c r="C73" s="56" t="s">
        <v>23</v>
      </c>
      <c r="D73" s="28">
        <v>0</v>
      </c>
      <c r="E73" s="28">
        <v>0</v>
      </c>
      <c r="F73" s="114">
        <v>0</v>
      </c>
      <c r="G73" s="123">
        <f t="shared" si="26"/>
        <v>0</v>
      </c>
      <c r="H73" s="281" t="e">
        <f>F73/E73*100</f>
        <v>#DIV/0!</v>
      </c>
      <c r="I73" s="136">
        <f t="shared" si="28"/>
        <v>0</v>
      </c>
      <c r="J73" s="180" t="e">
        <f>F73/D73*100</f>
        <v>#DIV/0!</v>
      </c>
      <c r="K73" s="136"/>
      <c r="L73" s="136"/>
      <c r="M73" s="136"/>
      <c r="N73" s="136"/>
      <c r="O73" s="136"/>
      <c r="P73" s="180"/>
      <c r="Q73" s="136">
        <v>0</v>
      </c>
      <c r="R73" s="136">
        <f t="shared" si="5"/>
        <v>0</v>
      </c>
      <c r="S73" s="180" t="e">
        <f t="shared" si="31"/>
        <v>#DIV/0!</v>
      </c>
      <c r="T73" s="128">
        <f t="shared" si="36"/>
        <v>0</v>
      </c>
      <c r="U73" s="131">
        <f t="shared" si="37"/>
        <v>0</v>
      </c>
      <c r="V73" s="132">
        <f t="shared" si="27"/>
        <v>0</v>
      </c>
      <c r="W73" s="180" t="e">
        <f t="shared" si="34"/>
        <v>#DIV/0!</v>
      </c>
      <c r="X73" s="264" t="e">
        <f t="shared" si="20"/>
        <v>#DIV/0!</v>
      </c>
    </row>
    <row r="74" spans="1:24" s="6" customFormat="1" ht="30.75" hidden="1">
      <c r="A74" s="8"/>
      <c r="B74" s="45" t="s">
        <v>40</v>
      </c>
      <c r="C74" s="56"/>
      <c r="D74" s="87"/>
      <c r="E74" s="87"/>
      <c r="F74" s="165">
        <v>0</v>
      </c>
      <c r="G74" s="204"/>
      <c r="H74" s="281"/>
      <c r="I74" s="205"/>
      <c r="J74" s="230"/>
      <c r="K74" s="205"/>
      <c r="L74" s="205"/>
      <c r="M74" s="205"/>
      <c r="N74" s="205">
        <v>1411.18</v>
      </c>
      <c r="O74" s="136"/>
      <c r="P74" s="180"/>
      <c r="Q74" s="137">
        <f>N74</f>
        <v>1411.18</v>
      </c>
      <c r="R74" s="205"/>
      <c r="S74" s="230">
        <f t="shared" si="31"/>
        <v>0</v>
      </c>
      <c r="T74" s="128">
        <f t="shared" si="36"/>
        <v>0</v>
      </c>
      <c r="U74" s="131">
        <f t="shared" si="37"/>
        <v>0</v>
      </c>
      <c r="V74" s="137">
        <f t="shared" si="27"/>
        <v>0</v>
      </c>
      <c r="W74" s="180"/>
      <c r="X74" s="264"/>
    </row>
    <row r="75" spans="1:24" s="6" customFormat="1" ht="18" hidden="1">
      <c r="A75" s="8"/>
      <c r="B75" s="109" t="s">
        <v>20</v>
      </c>
      <c r="C75" s="106" t="s">
        <v>21</v>
      </c>
      <c r="D75" s="31">
        <v>0</v>
      </c>
      <c r="E75" s="31">
        <v>0</v>
      </c>
      <c r="F75" s="116">
        <v>0</v>
      </c>
      <c r="G75" s="123">
        <f t="shared" si="26"/>
        <v>0</v>
      </c>
      <c r="H75" s="281" t="e">
        <f>F75/E75*100</f>
        <v>#DIV/0!</v>
      </c>
      <c r="I75" s="136">
        <f t="shared" si="28"/>
        <v>0</v>
      </c>
      <c r="J75" s="180" t="e">
        <f>F75/D75*100</f>
        <v>#DIV/0!</v>
      </c>
      <c r="K75" s="136"/>
      <c r="L75" s="136"/>
      <c r="M75" s="136"/>
      <c r="N75" s="136"/>
      <c r="O75" s="136"/>
      <c r="P75" s="180"/>
      <c r="Q75" s="137">
        <v>0</v>
      </c>
      <c r="R75" s="136">
        <f t="shared" si="5"/>
        <v>0</v>
      </c>
      <c r="S75" s="180" t="e">
        <f t="shared" si="31"/>
        <v>#DIV/0!</v>
      </c>
      <c r="T75" s="128">
        <f t="shared" si="36"/>
        <v>0</v>
      </c>
      <c r="U75" s="131">
        <f t="shared" si="37"/>
        <v>0</v>
      </c>
      <c r="V75" s="132">
        <f t="shared" si="27"/>
        <v>0</v>
      </c>
      <c r="W75" s="180" t="e">
        <f t="shared" si="34"/>
        <v>#DIV/0!</v>
      </c>
      <c r="X75" s="264" t="e">
        <f t="shared" si="20"/>
        <v>#DIV/0!</v>
      </c>
    </row>
    <row r="76" spans="1:24" s="6" customFormat="1" ht="44.25" customHeight="1">
      <c r="A76" s="8"/>
      <c r="B76" s="109" t="s">
        <v>41</v>
      </c>
      <c r="C76" s="38">
        <v>24061900</v>
      </c>
      <c r="D76" s="123">
        <v>10</v>
      </c>
      <c r="E76" s="123">
        <v>10</v>
      </c>
      <c r="F76" s="127">
        <v>0</v>
      </c>
      <c r="G76" s="123">
        <f t="shared" si="26"/>
        <v>-10</v>
      </c>
      <c r="H76" s="281">
        <f>F76/E76</f>
        <v>0</v>
      </c>
      <c r="I76" s="136">
        <f t="shared" si="28"/>
        <v>-10</v>
      </c>
      <c r="J76" s="180">
        <f>F76/D76</f>
        <v>0</v>
      </c>
      <c r="K76" s="136"/>
      <c r="L76" s="136"/>
      <c r="M76" s="136"/>
      <c r="N76" s="136">
        <v>142.18</v>
      </c>
      <c r="O76" s="136">
        <f>D76-N76</f>
        <v>-132.18</v>
      </c>
      <c r="P76" s="180">
        <f>D76/N76</f>
        <v>0.07033338022225348</v>
      </c>
      <c r="Q76" s="136">
        <v>32.89</v>
      </c>
      <c r="R76" s="136">
        <f t="shared" si="5"/>
        <v>-32.89</v>
      </c>
      <c r="S76" s="180">
        <f t="shared" si="31"/>
        <v>0</v>
      </c>
      <c r="T76" s="128">
        <f t="shared" si="36"/>
        <v>10</v>
      </c>
      <c r="U76" s="131">
        <f t="shared" si="37"/>
        <v>0</v>
      </c>
      <c r="V76" s="132">
        <f t="shared" si="27"/>
        <v>-10</v>
      </c>
      <c r="W76" s="180">
        <f t="shared" si="34"/>
        <v>0</v>
      </c>
      <c r="X76" s="264">
        <f t="shared" si="20"/>
        <v>-0.07033338022225348</v>
      </c>
    </row>
    <row r="77" spans="1:24" s="6" customFormat="1" ht="27.75" customHeight="1">
      <c r="A77" s="8"/>
      <c r="B77" s="109" t="s">
        <v>42</v>
      </c>
      <c r="C77" s="38">
        <v>31010200</v>
      </c>
      <c r="D77" s="123">
        <v>4.5</v>
      </c>
      <c r="E77" s="123">
        <v>1.5</v>
      </c>
      <c r="F77" s="127">
        <v>3.77</v>
      </c>
      <c r="G77" s="123">
        <f t="shared" si="26"/>
        <v>2.27</v>
      </c>
      <c r="H77" s="281">
        <f>F77/E77</f>
        <v>2.513333333333333</v>
      </c>
      <c r="I77" s="136">
        <f t="shared" si="28"/>
        <v>-0.73</v>
      </c>
      <c r="J77" s="180">
        <f>F77/D77</f>
        <v>0.8377777777777777</v>
      </c>
      <c r="K77" s="136"/>
      <c r="L77" s="136"/>
      <c r="M77" s="136"/>
      <c r="N77" s="136">
        <v>34.22</v>
      </c>
      <c r="O77" s="136">
        <f>D77-N77</f>
        <v>-29.72</v>
      </c>
      <c r="P77" s="180">
        <f>D77/N77</f>
        <v>0.1315020455873758</v>
      </c>
      <c r="Q77" s="136">
        <v>1.49</v>
      </c>
      <c r="R77" s="136">
        <f t="shared" si="5"/>
        <v>2.2800000000000002</v>
      </c>
      <c r="S77" s="180">
        <f t="shared" si="31"/>
        <v>2.530201342281879</v>
      </c>
      <c r="T77" s="128">
        <f t="shared" si="36"/>
        <v>1.5</v>
      </c>
      <c r="U77" s="131">
        <f t="shared" si="37"/>
        <v>3.77</v>
      </c>
      <c r="V77" s="132">
        <f t="shared" si="27"/>
        <v>2.27</v>
      </c>
      <c r="W77" s="180">
        <f t="shared" si="34"/>
        <v>2.513333333333333</v>
      </c>
      <c r="X77" s="264">
        <f t="shared" si="20"/>
        <v>2.3986992966945033</v>
      </c>
    </row>
    <row r="78" spans="1:24" s="6" customFormat="1" ht="30.75">
      <c r="A78" s="8"/>
      <c r="B78" s="109" t="s">
        <v>55</v>
      </c>
      <c r="C78" s="38">
        <v>31020000</v>
      </c>
      <c r="D78" s="123">
        <v>0</v>
      </c>
      <c r="E78" s="123">
        <f>D78</f>
        <v>0</v>
      </c>
      <c r="F78" s="127">
        <v>0</v>
      </c>
      <c r="G78" s="123">
        <f t="shared" si="26"/>
        <v>0</v>
      </c>
      <c r="H78" s="281" t="e">
        <f>F78/E78</f>
        <v>#DIV/0!</v>
      </c>
      <c r="I78" s="136">
        <f t="shared" si="28"/>
        <v>0</v>
      </c>
      <c r="J78" s="180"/>
      <c r="K78" s="136"/>
      <c r="L78" s="136"/>
      <c r="M78" s="136"/>
      <c r="N78" s="136">
        <v>-4.86</v>
      </c>
      <c r="O78" s="136">
        <f>D78-N78</f>
        <v>4.86</v>
      </c>
      <c r="P78" s="180">
        <f>D78/N78</f>
        <v>0</v>
      </c>
      <c r="Q78" s="136">
        <v>0</v>
      </c>
      <c r="R78" s="136">
        <f t="shared" si="5"/>
        <v>0</v>
      </c>
      <c r="S78" s="180" t="e">
        <f t="shared" si="31"/>
        <v>#DIV/0!</v>
      </c>
      <c r="T78" s="128">
        <f t="shared" si="36"/>
        <v>0</v>
      </c>
      <c r="U78" s="131">
        <f t="shared" si="37"/>
        <v>0</v>
      </c>
      <c r="V78" s="132">
        <f t="shared" si="27"/>
        <v>0</v>
      </c>
      <c r="W78" s="180"/>
      <c r="X78" s="264" t="e">
        <f t="shared" si="20"/>
        <v>#DIV/0!</v>
      </c>
    </row>
    <row r="79" spans="1:24" s="6" customFormat="1" ht="17.25">
      <c r="A79" s="9"/>
      <c r="B79" s="13" t="s">
        <v>124</v>
      </c>
      <c r="C79" s="57"/>
      <c r="D79" s="124">
        <f>D8+D53+D77+D78</f>
        <v>348680.66</v>
      </c>
      <c r="E79" s="124">
        <f>E8+E53+E77+E78</f>
        <v>110956.55000000002</v>
      </c>
      <c r="F79" s="124">
        <f>F8+F53+F77+F78</f>
        <v>115278.54</v>
      </c>
      <c r="G79" s="124">
        <f>F79-E79</f>
        <v>4321.989999999976</v>
      </c>
      <c r="H79" s="278">
        <f>F79/E79</f>
        <v>1.0389520943107908</v>
      </c>
      <c r="I79" s="125">
        <f>F79-D79</f>
        <v>-233402.12</v>
      </c>
      <c r="J79" s="181">
        <f>F79/D79</f>
        <v>0.33061351897177205</v>
      </c>
      <c r="K79" s="125"/>
      <c r="L79" s="125"/>
      <c r="M79" s="125"/>
      <c r="N79" s="125">
        <v>1398996.46</v>
      </c>
      <c r="O79" s="125">
        <f>D79-N79</f>
        <v>-1050315.8</v>
      </c>
      <c r="P79" s="181">
        <f>D79/N79</f>
        <v>0.24923627040485863</v>
      </c>
      <c r="Q79" s="124">
        <v>98086.18</v>
      </c>
      <c r="R79" s="125">
        <f>F79-Q79</f>
        <v>17192.36</v>
      </c>
      <c r="S79" s="181">
        <f>F79/Q79</f>
        <v>1.1752781074765069</v>
      </c>
      <c r="T79" s="124">
        <f>T8+T53+T77+T78</f>
        <v>110956.55000000002</v>
      </c>
      <c r="U79" s="124">
        <f>U8+U53+U77+U78</f>
        <v>115278.54</v>
      </c>
      <c r="V79" s="159">
        <f>U79-T79</f>
        <v>4321.989999999976</v>
      </c>
      <c r="W79" s="181">
        <f>U79/T79</f>
        <v>1.0389520943107908</v>
      </c>
      <c r="X79" s="264">
        <f t="shared" si="20"/>
        <v>0.9260418370716482</v>
      </c>
    </row>
    <row r="80" spans="1:24" s="43" customFormat="1" ht="17.25" hidden="1">
      <c r="A80" s="40"/>
      <c r="B80" s="50"/>
      <c r="C80" s="58"/>
      <c r="D80" s="41"/>
      <c r="E80" s="41"/>
      <c r="F80" s="77"/>
      <c r="G80" s="72"/>
      <c r="H80" s="282"/>
      <c r="I80" s="49"/>
      <c r="J80" s="84"/>
      <c r="K80" s="32"/>
      <c r="L80" s="32"/>
      <c r="M80" s="32"/>
      <c r="N80" s="32"/>
      <c r="O80" s="32"/>
      <c r="P80" s="84"/>
      <c r="Q80" s="32"/>
      <c r="R80" s="32"/>
      <c r="S80" s="32"/>
      <c r="T80" s="42"/>
      <c r="U80" s="41"/>
      <c r="V80" s="74"/>
      <c r="W80" s="84"/>
      <c r="X80" s="264">
        <f t="shared" si="20"/>
        <v>0</v>
      </c>
    </row>
    <row r="81" spans="1:24" s="43" customFormat="1" ht="17.25" hidden="1">
      <c r="A81" s="40"/>
      <c r="B81" s="51"/>
      <c r="C81" s="58"/>
      <c r="D81" s="52"/>
      <c r="E81" s="41"/>
      <c r="F81" s="77"/>
      <c r="G81" s="36"/>
      <c r="H81" s="282"/>
      <c r="I81" s="53"/>
      <c r="J81" s="84"/>
      <c r="K81" s="32"/>
      <c r="L81" s="32"/>
      <c r="M81" s="32"/>
      <c r="N81" s="32"/>
      <c r="O81" s="32"/>
      <c r="P81" s="84"/>
      <c r="Q81" s="32"/>
      <c r="R81" s="32"/>
      <c r="S81" s="32"/>
      <c r="T81" s="27"/>
      <c r="U81" s="41"/>
      <c r="V81" s="54"/>
      <c r="W81" s="84"/>
      <c r="X81" s="264">
        <f t="shared" si="20"/>
        <v>0</v>
      </c>
    </row>
    <row r="82" spans="1:24" s="43" customFormat="1" ht="17.25" hidden="1">
      <c r="A82" s="40"/>
      <c r="B82" s="51"/>
      <c r="C82" s="58"/>
      <c r="D82" s="52"/>
      <c r="E82" s="31"/>
      <c r="F82" s="92"/>
      <c r="G82" s="36"/>
      <c r="H82" s="282"/>
      <c r="I82" s="53"/>
      <c r="J82" s="84"/>
      <c r="K82" s="32"/>
      <c r="L82" s="32"/>
      <c r="M82" s="32"/>
      <c r="N82" s="32"/>
      <c r="O82" s="32"/>
      <c r="P82" s="84"/>
      <c r="Q82" s="32"/>
      <c r="R82" s="32"/>
      <c r="S82" s="32"/>
      <c r="T82" s="27"/>
      <c r="U82" s="52"/>
      <c r="V82" s="74"/>
      <c r="W82" s="84"/>
      <c r="X82" s="264">
        <f t="shared" si="20"/>
        <v>0</v>
      </c>
    </row>
    <row r="83" spans="2:24" ht="15">
      <c r="B83" s="21" t="s">
        <v>100</v>
      </c>
      <c r="C83" s="59"/>
      <c r="D83" s="23"/>
      <c r="E83" s="23"/>
      <c r="F83" s="117"/>
      <c r="G83" s="31"/>
      <c r="H83" s="283"/>
      <c r="I83" s="35"/>
      <c r="J83" s="85"/>
      <c r="K83" s="35"/>
      <c r="L83" s="35"/>
      <c r="M83" s="35"/>
      <c r="N83" s="35"/>
      <c r="O83" s="35"/>
      <c r="P83" s="85"/>
      <c r="Q83" s="35"/>
      <c r="R83" s="35"/>
      <c r="S83" s="35"/>
      <c r="T83" s="28"/>
      <c r="U83" s="121"/>
      <c r="V83" s="33"/>
      <c r="W83" s="85"/>
      <c r="X83" s="264">
        <f t="shared" si="20"/>
        <v>0</v>
      </c>
    </row>
    <row r="84" spans="2:24" ht="25.5" customHeight="1" hidden="1">
      <c r="B84" s="192" t="s">
        <v>95</v>
      </c>
      <c r="C84" s="111">
        <v>12020000</v>
      </c>
      <c r="D84" s="146">
        <v>0</v>
      </c>
      <c r="E84" s="146"/>
      <c r="F84" s="147">
        <v>0.01</v>
      </c>
      <c r="G84" s="133"/>
      <c r="H84" s="281"/>
      <c r="I84" s="138"/>
      <c r="J84" s="172"/>
      <c r="K84" s="138"/>
      <c r="L84" s="138"/>
      <c r="M84" s="138"/>
      <c r="N84" s="138"/>
      <c r="O84" s="138"/>
      <c r="P84" s="172"/>
      <c r="Q84" s="138">
        <f>N84</f>
        <v>0</v>
      </c>
      <c r="R84" s="138">
        <f>F84-Q84</f>
        <v>0.01</v>
      </c>
      <c r="S84" s="172" t="e">
        <f>F84/Q84</f>
        <v>#DIV/0!</v>
      </c>
      <c r="T84" s="133">
        <f>E84</f>
        <v>0</v>
      </c>
      <c r="U84" s="131">
        <f>F84</f>
        <v>0.01</v>
      </c>
      <c r="V84" s="138"/>
      <c r="W84" s="172"/>
      <c r="X84" s="264" t="e">
        <f t="shared" si="20"/>
        <v>#DIV/0!</v>
      </c>
    </row>
    <row r="85" spans="2:24" ht="31.5">
      <c r="B85" s="22" t="s">
        <v>60</v>
      </c>
      <c r="C85" s="68">
        <v>18041500</v>
      </c>
      <c r="D85" s="146">
        <v>0</v>
      </c>
      <c r="E85" s="146">
        <v>0</v>
      </c>
      <c r="F85" s="147">
        <v>0</v>
      </c>
      <c r="G85" s="133">
        <f>F85-E85</f>
        <v>0</v>
      </c>
      <c r="H85" s="281"/>
      <c r="I85" s="138">
        <f>F85-D85</f>
        <v>0</v>
      </c>
      <c r="J85" s="172"/>
      <c r="K85" s="138"/>
      <c r="L85" s="138"/>
      <c r="M85" s="138"/>
      <c r="N85" s="138">
        <v>-2.64</v>
      </c>
      <c r="O85" s="138">
        <f>D85-N85</f>
        <v>2.64</v>
      </c>
      <c r="P85" s="172">
        <f>D85/N85</f>
        <v>0</v>
      </c>
      <c r="Q85" s="138">
        <v>0</v>
      </c>
      <c r="R85" s="138">
        <f>F85-Q85</f>
        <v>0</v>
      </c>
      <c r="S85" s="172" t="e">
        <f>F85/Q85</f>
        <v>#DIV/0!</v>
      </c>
      <c r="T85" s="133">
        <f>E85</f>
        <v>0</v>
      </c>
      <c r="U85" s="131">
        <f>F85</f>
        <v>0</v>
      </c>
      <c r="V85" s="138">
        <f>U85-T85</f>
        <v>0</v>
      </c>
      <c r="W85" s="172"/>
      <c r="X85" s="264" t="e">
        <f t="shared" si="20"/>
        <v>#DIV/0!</v>
      </c>
    </row>
    <row r="86" spans="2:24" ht="17.25">
      <c r="B86" s="25" t="s">
        <v>43</v>
      </c>
      <c r="C86" s="69"/>
      <c r="D86" s="148">
        <f>D85</f>
        <v>0</v>
      </c>
      <c r="E86" s="148">
        <f>E85</f>
        <v>0</v>
      </c>
      <c r="F86" s="149">
        <f>SUM(F84:F85)</f>
        <v>0.01</v>
      </c>
      <c r="G86" s="150">
        <f>F86-E86</f>
        <v>0.01</v>
      </c>
      <c r="H86" s="284"/>
      <c r="I86" s="152">
        <f>F86-D86</f>
        <v>0.01</v>
      </c>
      <c r="J86" s="176"/>
      <c r="K86" s="152"/>
      <c r="L86" s="152"/>
      <c r="M86" s="152"/>
      <c r="N86" s="152">
        <v>-2.64</v>
      </c>
      <c r="O86" s="152">
        <f>D86-N86</f>
        <v>2.64</v>
      </c>
      <c r="P86" s="176">
        <f>D86/N86</f>
        <v>0</v>
      </c>
      <c r="Q86" s="152">
        <v>0</v>
      </c>
      <c r="R86" s="152">
        <f aca="true" t="shared" si="38" ref="R86:R98">F86-Q86</f>
        <v>0.01</v>
      </c>
      <c r="S86" s="176" t="e">
        <f aca="true" t="shared" si="39" ref="S86:S101">F86/Q86</f>
        <v>#DIV/0!</v>
      </c>
      <c r="T86" s="150">
        <f>SUM(T84:T85)</f>
        <v>0</v>
      </c>
      <c r="U86" s="153">
        <f>SUM(U84:U85)</f>
        <v>0.01</v>
      </c>
      <c r="V86" s="152">
        <f>U86-T86</f>
        <v>0.01</v>
      </c>
      <c r="W86" s="176"/>
      <c r="X86" s="264" t="e">
        <f t="shared" si="20"/>
        <v>#DIV/0!</v>
      </c>
    </row>
    <row r="87" spans="2:24" ht="45.75">
      <c r="B87" s="25" t="s">
        <v>35</v>
      </c>
      <c r="C87" s="111">
        <v>21110000</v>
      </c>
      <c r="D87" s="148">
        <v>0</v>
      </c>
      <c r="E87" s="148">
        <v>0</v>
      </c>
      <c r="F87" s="149">
        <v>0</v>
      </c>
      <c r="G87" s="150">
        <f aca="true" t="shared" si="40" ref="G87:G98">F87-E87</f>
        <v>0</v>
      </c>
      <c r="H87" s="284"/>
      <c r="I87" s="152">
        <f>F87-D87</f>
        <v>0</v>
      </c>
      <c r="J87" s="176"/>
      <c r="K87" s="152"/>
      <c r="L87" s="152"/>
      <c r="M87" s="152"/>
      <c r="N87" s="152">
        <v>35.57</v>
      </c>
      <c r="O87" s="152">
        <f aca="true" t="shared" si="41" ref="O87:O98">D87-N87</f>
        <v>-35.57</v>
      </c>
      <c r="P87" s="176">
        <f aca="true" t="shared" si="42" ref="P87:P98">D87/N87</f>
        <v>0</v>
      </c>
      <c r="Q87" s="152">
        <v>11.81</v>
      </c>
      <c r="R87" s="152">
        <f t="shared" si="38"/>
        <v>-11.81</v>
      </c>
      <c r="S87" s="172"/>
      <c r="T87" s="151">
        <f aca="true" t="shared" si="43" ref="T87:U91">E87</f>
        <v>0</v>
      </c>
      <c r="U87" s="222">
        <f t="shared" si="43"/>
        <v>0</v>
      </c>
      <c r="V87" s="152">
        <f aca="true" t="shared" si="44" ref="V87:V98">U87-T87</f>
        <v>0</v>
      </c>
      <c r="W87" s="176"/>
      <c r="X87" s="264"/>
    </row>
    <row r="88" spans="2:24" ht="31.5">
      <c r="B88" s="22" t="s">
        <v>28</v>
      </c>
      <c r="C88" s="68">
        <v>31030000</v>
      </c>
      <c r="D88" s="146">
        <v>0</v>
      </c>
      <c r="E88" s="146">
        <v>0</v>
      </c>
      <c r="F88" s="147">
        <v>806.43</v>
      </c>
      <c r="G88" s="133">
        <f t="shared" si="40"/>
        <v>806.43</v>
      </c>
      <c r="H88" s="281" t="e">
        <f>F88/E88</f>
        <v>#DIV/0!</v>
      </c>
      <c r="I88" s="138">
        <f>F88-D88</f>
        <v>806.43</v>
      </c>
      <c r="J88" s="172" t="e">
        <f>F88/D88</f>
        <v>#DIV/0!</v>
      </c>
      <c r="K88" s="138"/>
      <c r="L88" s="138"/>
      <c r="M88" s="138"/>
      <c r="N88" s="138">
        <v>938.14</v>
      </c>
      <c r="O88" s="138">
        <f t="shared" si="41"/>
        <v>-938.14</v>
      </c>
      <c r="P88" s="172">
        <f t="shared" si="42"/>
        <v>0</v>
      </c>
      <c r="Q88" s="138">
        <v>0.04</v>
      </c>
      <c r="R88" s="138">
        <f t="shared" si="38"/>
        <v>806.39</v>
      </c>
      <c r="S88" s="172">
        <f t="shared" si="39"/>
        <v>20160.75</v>
      </c>
      <c r="T88" s="128">
        <f t="shared" si="43"/>
        <v>0</v>
      </c>
      <c r="U88" s="131">
        <f t="shared" si="43"/>
        <v>806.43</v>
      </c>
      <c r="V88" s="138">
        <f t="shared" si="44"/>
        <v>806.43</v>
      </c>
      <c r="W88" s="172" t="e">
        <f>U88/T88</f>
        <v>#DIV/0!</v>
      </c>
      <c r="X88" s="264">
        <f t="shared" si="20"/>
        <v>20160.75</v>
      </c>
    </row>
    <row r="89" spans="2:24" ht="18">
      <c r="B89" s="22" t="s">
        <v>29</v>
      </c>
      <c r="C89" s="68">
        <v>33010000</v>
      </c>
      <c r="D89" s="146">
        <v>0</v>
      </c>
      <c r="E89" s="146">
        <v>0</v>
      </c>
      <c r="F89" s="147">
        <v>15</v>
      </c>
      <c r="G89" s="133">
        <f t="shared" si="40"/>
        <v>15</v>
      </c>
      <c r="H89" s="281" t="e">
        <f>F89/E89</f>
        <v>#DIV/0!</v>
      </c>
      <c r="I89" s="138">
        <f aca="true" t="shared" si="45" ref="I89:I98">F89-D89</f>
        <v>15</v>
      </c>
      <c r="J89" s="172" t="e">
        <f>F89/D89</f>
        <v>#DIV/0!</v>
      </c>
      <c r="K89" s="138"/>
      <c r="L89" s="138"/>
      <c r="M89" s="138"/>
      <c r="N89" s="138">
        <v>8143.65</v>
      </c>
      <c r="O89" s="138">
        <f t="shared" si="41"/>
        <v>-8143.65</v>
      </c>
      <c r="P89" s="172">
        <f t="shared" si="42"/>
        <v>0</v>
      </c>
      <c r="Q89" s="138">
        <v>1.9</v>
      </c>
      <c r="R89" s="138">
        <f t="shared" si="38"/>
        <v>13.1</v>
      </c>
      <c r="S89" s="172">
        <f t="shared" si="39"/>
        <v>7.894736842105264</v>
      </c>
      <c r="T89" s="128">
        <f t="shared" si="43"/>
        <v>0</v>
      </c>
      <c r="U89" s="131">
        <f t="shared" si="43"/>
        <v>15</v>
      </c>
      <c r="V89" s="138">
        <f t="shared" si="44"/>
        <v>15</v>
      </c>
      <c r="W89" s="172" t="e">
        <f>U89/T89</f>
        <v>#DIV/0!</v>
      </c>
      <c r="X89" s="264">
        <f t="shared" si="20"/>
        <v>7.894736842105264</v>
      </c>
    </row>
    <row r="90" spans="2:24" ht="31.5">
      <c r="B90" s="22" t="s">
        <v>52</v>
      </c>
      <c r="C90" s="68">
        <v>24170000</v>
      </c>
      <c r="D90" s="146">
        <v>0</v>
      </c>
      <c r="E90" s="146">
        <v>0</v>
      </c>
      <c r="F90" s="147">
        <v>157.01</v>
      </c>
      <c r="G90" s="133">
        <f t="shared" si="40"/>
        <v>157.01</v>
      </c>
      <c r="H90" s="281" t="e">
        <f>F90/E90</f>
        <v>#DIV/0!</v>
      </c>
      <c r="I90" s="138">
        <f t="shared" si="45"/>
        <v>157.01</v>
      </c>
      <c r="J90" s="172" t="e">
        <f>F90/D90</f>
        <v>#DIV/0!</v>
      </c>
      <c r="K90" s="138"/>
      <c r="L90" s="138"/>
      <c r="M90" s="138"/>
      <c r="N90" s="138">
        <v>17305.88</v>
      </c>
      <c r="O90" s="138">
        <f t="shared" si="41"/>
        <v>-17305.88</v>
      </c>
      <c r="P90" s="172">
        <f t="shared" si="42"/>
        <v>0</v>
      </c>
      <c r="Q90" s="138">
        <v>90.12</v>
      </c>
      <c r="R90" s="138">
        <f t="shared" si="38"/>
        <v>66.88999999999999</v>
      </c>
      <c r="S90" s="172">
        <f t="shared" si="39"/>
        <v>1.7422325787838435</v>
      </c>
      <c r="T90" s="128">
        <f t="shared" si="43"/>
        <v>0</v>
      </c>
      <c r="U90" s="131">
        <f t="shared" si="43"/>
        <v>157.01</v>
      </c>
      <c r="V90" s="138">
        <f t="shared" si="44"/>
        <v>157.01</v>
      </c>
      <c r="W90" s="172" t="e">
        <f>U90/T90</f>
        <v>#DIV/0!</v>
      </c>
      <c r="X90" s="264">
        <f t="shared" si="20"/>
        <v>1.7422325787838435</v>
      </c>
    </row>
    <row r="91" spans="2:24" ht="18">
      <c r="B91" s="22" t="s">
        <v>96</v>
      </c>
      <c r="C91" s="68">
        <v>24110700</v>
      </c>
      <c r="D91" s="146">
        <v>0</v>
      </c>
      <c r="E91" s="146">
        <v>0</v>
      </c>
      <c r="F91" s="147">
        <v>1</v>
      </c>
      <c r="G91" s="133">
        <f t="shared" si="40"/>
        <v>1</v>
      </c>
      <c r="H91" s="281" t="e">
        <f>F91/E91</f>
        <v>#DIV/0!</v>
      </c>
      <c r="I91" s="138">
        <f t="shared" si="45"/>
        <v>1</v>
      </c>
      <c r="J91" s="172" t="e">
        <f>F91/D91</f>
        <v>#DIV/0!</v>
      </c>
      <c r="K91" s="138"/>
      <c r="L91" s="138"/>
      <c r="M91" s="138"/>
      <c r="N91" s="138">
        <v>20</v>
      </c>
      <c r="O91" s="138">
        <f t="shared" si="41"/>
        <v>-20</v>
      </c>
      <c r="P91" s="172">
        <f t="shared" si="42"/>
        <v>0</v>
      </c>
      <c r="Q91" s="138">
        <v>1</v>
      </c>
      <c r="R91" s="138">
        <f t="shared" si="38"/>
        <v>0</v>
      </c>
      <c r="S91" s="172">
        <f t="shared" si="39"/>
        <v>1</v>
      </c>
      <c r="T91" s="128">
        <f t="shared" si="43"/>
        <v>0</v>
      </c>
      <c r="U91" s="131">
        <f t="shared" si="43"/>
        <v>1</v>
      </c>
      <c r="V91" s="138">
        <f t="shared" si="44"/>
        <v>1</v>
      </c>
      <c r="W91" s="172" t="e">
        <f>U91/T91</f>
        <v>#DIV/0!</v>
      </c>
      <c r="X91" s="264">
        <f t="shared" si="20"/>
        <v>1</v>
      </c>
    </row>
    <row r="92" spans="2:24" ht="33">
      <c r="B92" s="25" t="s">
        <v>49</v>
      </c>
      <c r="C92" s="60"/>
      <c r="D92" s="148">
        <f>D88+D89+D90+D91</f>
        <v>0</v>
      </c>
      <c r="E92" s="148">
        <f>E88+E89+E90+E91</f>
        <v>0</v>
      </c>
      <c r="F92" s="149">
        <f>F88+F89+F90+F91</f>
        <v>979.4399999999999</v>
      </c>
      <c r="G92" s="150">
        <f t="shared" si="40"/>
        <v>979.4399999999999</v>
      </c>
      <c r="H92" s="284" t="e">
        <f>F92/E92</f>
        <v>#DIV/0!</v>
      </c>
      <c r="I92" s="152">
        <f t="shared" si="45"/>
        <v>979.4399999999999</v>
      </c>
      <c r="J92" s="176" t="e">
        <f>F92/D92</f>
        <v>#DIV/0!</v>
      </c>
      <c r="K92" s="152"/>
      <c r="L92" s="152"/>
      <c r="M92" s="152"/>
      <c r="N92" s="152">
        <v>26407.66</v>
      </c>
      <c r="O92" s="152">
        <f t="shared" si="41"/>
        <v>-26407.66</v>
      </c>
      <c r="P92" s="176">
        <f t="shared" si="42"/>
        <v>0</v>
      </c>
      <c r="Q92" s="152">
        <v>93.06</v>
      </c>
      <c r="R92" s="138">
        <f t="shared" si="38"/>
        <v>886.3799999999999</v>
      </c>
      <c r="S92" s="172">
        <f t="shared" si="39"/>
        <v>10.52482269503546</v>
      </c>
      <c r="T92" s="150">
        <f>T88+T89+T90+T91</f>
        <v>0</v>
      </c>
      <c r="U92" s="154">
        <f>U88+U89+U90+U91</f>
        <v>979.4399999999999</v>
      </c>
      <c r="V92" s="152">
        <f t="shared" si="44"/>
        <v>979.4399999999999</v>
      </c>
      <c r="W92" s="176" t="e">
        <f>U92/T92</f>
        <v>#DIV/0!</v>
      </c>
      <c r="X92" s="264">
        <f t="shared" si="20"/>
        <v>10.52482269503546</v>
      </c>
    </row>
    <row r="93" spans="2:24" ht="46.5">
      <c r="B93" s="12" t="s">
        <v>38</v>
      </c>
      <c r="C93" s="70">
        <v>24062100</v>
      </c>
      <c r="D93" s="146">
        <v>0</v>
      </c>
      <c r="E93" s="146">
        <v>0</v>
      </c>
      <c r="F93" s="147">
        <v>0.01</v>
      </c>
      <c r="G93" s="133">
        <f t="shared" si="40"/>
        <v>0.01</v>
      </c>
      <c r="H93" s="281"/>
      <c r="I93" s="138">
        <f t="shared" si="45"/>
        <v>0.01</v>
      </c>
      <c r="J93" s="172"/>
      <c r="K93" s="138"/>
      <c r="L93" s="138"/>
      <c r="M93" s="138"/>
      <c r="N93" s="138">
        <v>49.17</v>
      </c>
      <c r="O93" s="138">
        <f t="shared" si="41"/>
        <v>-49.17</v>
      </c>
      <c r="P93" s="172">
        <f t="shared" si="42"/>
        <v>0</v>
      </c>
      <c r="Q93" s="138">
        <v>0</v>
      </c>
      <c r="R93" s="138">
        <f t="shared" si="38"/>
        <v>0.01</v>
      </c>
      <c r="S93" s="172" t="e">
        <f t="shared" si="39"/>
        <v>#DIV/0!</v>
      </c>
      <c r="T93" s="128">
        <f aca="true" t="shared" si="46" ref="T93:U96">E93</f>
        <v>0</v>
      </c>
      <c r="U93" s="131">
        <f t="shared" si="46"/>
        <v>0.01</v>
      </c>
      <c r="V93" s="138">
        <f t="shared" si="44"/>
        <v>0.01</v>
      </c>
      <c r="W93" s="172"/>
      <c r="X93" s="264" t="e">
        <f t="shared" si="20"/>
        <v>#DIV/0!</v>
      </c>
    </row>
    <row r="94" spans="2:24" ht="18" hidden="1">
      <c r="B94" s="193" t="s">
        <v>50</v>
      </c>
      <c r="C94" s="68">
        <v>24061600</v>
      </c>
      <c r="D94" s="146">
        <v>0</v>
      </c>
      <c r="E94" s="146">
        <f>D94</f>
        <v>0</v>
      </c>
      <c r="F94" s="147">
        <v>0</v>
      </c>
      <c r="G94" s="133">
        <f t="shared" si="40"/>
        <v>0</v>
      </c>
      <c r="H94" s="281"/>
      <c r="I94" s="138">
        <f t="shared" si="45"/>
        <v>0</v>
      </c>
      <c r="J94" s="292"/>
      <c r="K94" s="155"/>
      <c r="L94" s="155"/>
      <c r="M94" s="155"/>
      <c r="N94" s="155"/>
      <c r="O94" s="138">
        <f t="shared" si="41"/>
        <v>0</v>
      </c>
      <c r="P94" s="172" t="e">
        <f t="shared" si="42"/>
        <v>#DIV/0!</v>
      </c>
      <c r="Q94" s="138">
        <f>N94</f>
        <v>0</v>
      </c>
      <c r="R94" s="138">
        <f t="shared" si="38"/>
        <v>0</v>
      </c>
      <c r="S94" s="172" t="e">
        <f t="shared" si="39"/>
        <v>#DIV/0!</v>
      </c>
      <c r="T94" s="128">
        <f t="shared" si="46"/>
        <v>0</v>
      </c>
      <c r="U94" s="131">
        <f t="shared" si="46"/>
        <v>0</v>
      </c>
      <c r="V94" s="138">
        <f t="shared" si="44"/>
        <v>0</v>
      </c>
      <c r="W94" s="292"/>
      <c r="X94" s="264" t="e">
        <f t="shared" si="20"/>
        <v>#DIV/0!</v>
      </c>
    </row>
    <row r="95" spans="2:24" ht="18">
      <c r="B95" s="22" t="s">
        <v>44</v>
      </c>
      <c r="C95" s="68">
        <v>19010000</v>
      </c>
      <c r="D95" s="146">
        <v>2277.26</v>
      </c>
      <c r="E95" s="146">
        <v>759.085</v>
      </c>
      <c r="F95" s="147">
        <v>463.24</v>
      </c>
      <c r="G95" s="133">
        <f t="shared" si="40"/>
        <v>-295.845</v>
      </c>
      <c r="H95" s="281">
        <f>F95/E95</f>
        <v>0.6102610379601757</v>
      </c>
      <c r="I95" s="138">
        <f t="shared" si="45"/>
        <v>-1814.0200000000002</v>
      </c>
      <c r="J95" s="172">
        <f>F95/D95</f>
        <v>0.2034198993527309</v>
      </c>
      <c r="K95" s="138"/>
      <c r="L95" s="138"/>
      <c r="M95" s="138"/>
      <c r="N95" s="138">
        <v>8033.94</v>
      </c>
      <c r="O95" s="138">
        <f t="shared" si="41"/>
        <v>-5756.679999999999</v>
      </c>
      <c r="P95" s="172">
        <f t="shared" si="42"/>
        <v>0.28345494240683905</v>
      </c>
      <c r="Q95" s="138">
        <v>11.48</v>
      </c>
      <c r="R95" s="138">
        <f t="shared" si="38"/>
        <v>451.76</v>
      </c>
      <c r="S95" s="172">
        <f t="shared" si="39"/>
        <v>40.35191637630662</v>
      </c>
      <c r="T95" s="128">
        <f t="shared" si="46"/>
        <v>759.085</v>
      </c>
      <c r="U95" s="131">
        <f t="shared" si="46"/>
        <v>463.24</v>
      </c>
      <c r="V95" s="138">
        <f t="shared" si="44"/>
        <v>-295.845</v>
      </c>
      <c r="W95" s="172">
        <f>U95/T95</f>
        <v>0.6102610379601757</v>
      </c>
      <c r="X95" s="264">
        <f t="shared" si="20"/>
        <v>40.06846143389978</v>
      </c>
    </row>
    <row r="96" spans="2:24" ht="31.5">
      <c r="B96" s="22" t="s">
        <v>48</v>
      </c>
      <c r="C96" s="68">
        <v>19050000</v>
      </c>
      <c r="D96" s="146">
        <v>0</v>
      </c>
      <c r="E96" s="146">
        <v>0</v>
      </c>
      <c r="F96" s="147">
        <v>0</v>
      </c>
      <c r="G96" s="133">
        <f t="shared" si="40"/>
        <v>0</v>
      </c>
      <c r="H96" s="281"/>
      <c r="I96" s="138">
        <f t="shared" si="45"/>
        <v>0</v>
      </c>
      <c r="J96" s="172"/>
      <c r="K96" s="138"/>
      <c r="L96" s="138"/>
      <c r="M96" s="138"/>
      <c r="N96" s="138">
        <v>0.1</v>
      </c>
      <c r="O96" s="138">
        <f t="shared" si="41"/>
        <v>-0.1</v>
      </c>
      <c r="P96" s="172">
        <f t="shared" si="42"/>
        <v>0</v>
      </c>
      <c r="Q96" s="138">
        <v>0</v>
      </c>
      <c r="R96" s="138">
        <f t="shared" si="38"/>
        <v>0</v>
      </c>
      <c r="S96" s="172" t="e">
        <f t="shared" si="39"/>
        <v>#DIV/0!</v>
      </c>
      <c r="T96" s="128">
        <f t="shared" si="46"/>
        <v>0</v>
      </c>
      <c r="U96" s="131">
        <f t="shared" si="46"/>
        <v>0</v>
      </c>
      <c r="V96" s="138">
        <f t="shared" si="44"/>
        <v>0</v>
      </c>
      <c r="W96" s="292"/>
      <c r="X96" s="264" t="e">
        <f t="shared" si="20"/>
        <v>#DIV/0!</v>
      </c>
    </row>
    <row r="97" spans="2:24" ht="30.75">
      <c r="B97" s="25" t="s">
        <v>45</v>
      </c>
      <c r="C97" s="68"/>
      <c r="D97" s="148">
        <f>D93+D96+D94+D95</f>
        <v>2277.26</v>
      </c>
      <c r="E97" s="148">
        <f>E93+E96+E94+E95</f>
        <v>759.085</v>
      </c>
      <c r="F97" s="149">
        <f>F93+F96+F94+F95</f>
        <v>463.25</v>
      </c>
      <c r="G97" s="150">
        <f t="shared" si="40"/>
        <v>-295.83500000000004</v>
      </c>
      <c r="H97" s="284">
        <f>F97/E97</f>
        <v>0.6102742117154205</v>
      </c>
      <c r="I97" s="152">
        <f t="shared" si="45"/>
        <v>-1814.0100000000002</v>
      </c>
      <c r="J97" s="176">
        <f>F97/D97</f>
        <v>0.20342429059483763</v>
      </c>
      <c r="K97" s="152"/>
      <c r="L97" s="152"/>
      <c r="M97" s="152"/>
      <c r="N97" s="152">
        <v>8083.21</v>
      </c>
      <c r="O97" s="152">
        <f t="shared" si="41"/>
        <v>-5805.95</v>
      </c>
      <c r="P97" s="176">
        <f t="shared" si="42"/>
        <v>0.2817271851158142</v>
      </c>
      <c r="Q97" s="152">
        <v>11.82</v>
      </c>
      <c r="R97" s="138">
        <f t="shared" si="38"/>
        <v>451.43</v>
      </c>
      <c r="S97" s="172">
        <f t="shared" si="39"/>
        <v>39.19204737732657</v>
      </c>
      <c r="T97" s="150">
        <f>T93+T96+T94+T95</f>
        <v>759.085</v>
      </c>
      <c r="U97" s="154">
        <f>U93+U96+U94+U95</f>
        <v>463.25</v>
      </c>
      <c r="V97" s="152">
        <f t="shared" si="44"/>
        <v>-295.83500000000004</v>
      </c>
      <c r="W97" s="176">
        <f>U97/T97</f>
        <v>0.6102742117154205</v>
      </c>
      <c r="X97" s="264">
        <f t="shared" si="20"/>
        <v>38.910320192210754</v>
      </c>
    </row>
    <row r="98" spans="2:24" ht="30.75">
      <c r="B98" s="12" t="s">
        <v>39</v>
      </c>
      <c r="C98" s="38">
        <v>24110900</v>
      </c>
      <c r="D98" s="146">
        <v>0</v>
      </c>
      <c r="E98" s="146">
        <v>0</v>
      </c>
      <c r="F98" s="147">
        <v>1.7</v>
      </c>
      <c r="G98" s="133">
        <f t="shared" si="40"/>
        <v>1.7</v>
      </c>
      <c r="H98" s="281" t="e">
        <f>F98/E98</f>
        <v>#DIV/0!</v>
      </c>
      <c r="I98" s="138">
        <f t="shared" si="45"/>
        <v>1.7</v>
      </c>
      <c r="J98" s="172" t="e">
        <f>F98/D98</f>
        <v>#DIV/0!</v>
      </c>
      <c r="K98" s="138"/>
      <c r="L98" s="138"/>
      <c r="M98" s="138"/>
      <c r="N98" s="138">
        <v>37.96</v>
      </c>
      <c r="O98" s="138">
        <f t="shared" si="41"/>
        <v>-37.96</v>
      </c>
      <c r="P98" s="172">
        <f t="shared" si="42"/>
        <v>0</v>
      </c>
      <c r="Q98" s="152">
        <v>0.34</v>
      </c>
      <c r="R98" s="138">
        <f t="shared" si="38"/>
        <v>1.3599999999999999</v>
      </c>
      <c r="S98" s="172">
        <f t="shared" si="39"/>
        <v>4.999999999999999</v>
      </c>
      <c r="T98" s="128">
        <f>E98</f>
        <v>0</v>
      </c>
      <c r="U98" s="131">
        <f>F98</f>
        <v>1.7</v>
      </c>
      <c r="V98" s="138">
        <f t="shared" si="44"/>
        <v>1.7</v>
      </c>
      <c r="W98" s="172" t="e">
        <f>U98/T98</f>
        <v>#DIV/0!</v>
      </c>
      <c r="X98" s="264">
        <f t="shared" si="20"/>
        <v>4.999999999999999</v>
      </c>
    </row>
    <row r="99" spans="2:24" ht="18" hidden="1">
      <c r="B99" s="100"/>
      <c r="C99" s="38">
        <v>21110000</v>
      </c>
      <c r="D99" s="146">
        <v>0</v>
      </c>
      <c r="E99" s="146">
        <v>0</v>
      </c>
      <c r="F99" s="147"/>
      <c r="G99" s="133" t="e">
        <f>#N/A</f>
        <v>#N/A</v>
      </c>
      <c r="H99" s="281"/>
      <c r="I99" s="138" t="e">
        <f>#N/A</f>
        <v>#N/A</v>
      </c>
      <c r="J99" s="172"/>
      <c r="K99" s="138"/>
      <c r="L99" s="138"/>
      <c r="M99" s="138"/>
      <c r="N99" s="138"/>
      <c r="O99" s="138"/>
      <c r="P99" s="172"/>
      <c r="Q99" s="138">
        <v>18.76</v>
      </c>
      <c r="R99" s="152" t="e">
        <f>#N/A</f>
        <v>#N/A</v>
      </c>
      <c r="S99" s="172">
        <f t="shared" si="39"/>
        <v>0</v>
      </c>
      <c r="T99" s="135" t="e">
        <f>E99-#REF!</f>
        <v>#REF!</v>
      </c>
      <c r="U99" s="139" t="e">
        <f>F99-#REF!</f>
        <v>#REF!</v>
      </c>
      <c r="V99" s="138" t="e">
        <f>#N/A</f>
        <v>#N/A</v>
      </c>
      <c r="W99" s="172"/>
      <c r="X99" s="264">
        <f t="shared" si="20"/>
        <v>0</v>
      </c>
    </row>
    <row r="100" spans="2:24" ht="23.25" customHeight="1">
      <c r="B100" s="231" t="s">
        <v>30</v>
      </c>
      <c r="C100" s="232"/>
      <c r="D100" s="233">
        <f>D86+D87+D92+D97+D98</f>
        <v>2277.26</v>
      </c>
      <c r="E100" s="233">
        <f>E86+E87+E92+E97+E98</f>
        <v>759.085</v>
      </c>
      <c r="F100" s="233">
        <f>F86+F87+F92+F97+F98</f>
        <v>1444.3999999999999</v>
      </c>
      <c r="G100" s="234">
        <f>F100-E100</f>
        <v>685.3149999999998</v>
      </c>
      <c r="H100" s="285">
        <f>F100/E100</f>
        <v>1.9028172075591006</v>
      </c>
      <c r="I100" s="227">
        <f>F100-D100</f>
        <v>-832.8600000000004</v>
      </c>
      <c r="J100" s="228">
        <f>F100/D100</f>
        <v>0.6342710098978596</v>
      </c>
      <c r="K100" s="227"/>
      <c r="L100" s="227"/>
      <c r="M100" s="227"/>
      <c r="N100" s="227">
        <v>34561.77</v>
      </c>
      <c r="O100" s="227">
        <f>D100-N100</f>
        <v>-32284.509999999995</v>
      </c>
      <c r="P100" s="228">
        <f>D100/N100</f>
        <v>0.06588956526242726</v>
      </c>
      <c r="Q100" s="233">
        <v>117.03</v>
      </c>
      <c r="R100" s="227">
        <f>F100-Q100</f>
        <v>1327.37</v>
      </c>
      <c r="S100" s="228">
        <f t="shared" si="39"/>
        <v>12.342134495428521</v>
      </c>
      <c r="T100" s="233">
        <f>T86+T87+T92+T97+T98</f>
        <v>759.085</v>
      </c>
      <c r="U100" s="233">
        <f>U86+U87+U92+U97+U98</f>
        <v>1444.3999999999999</v>
      </c>
      <c r="V100" s="227">
        <f>U100-T100</f>
        <v>685.3149999999998</v>
      </c>
      <c r="W100" s="228">
        <f>U100/T100</f>
        <v>1.9028172075591006</v>
      </c>
      <c r="X100" s="264">
        <f>S100-P100</f>
        <v>12.276244930166094</v>
      </c>
    </row>
    <row r="101" spans="2:24" ht="17.25">
      <c r="B101" s="235" t="s">
        <v>122</v>
      </c>
      <c r="C101" s="232"/>
      <c r="D101" s="233">
        <f>D79+D100</f>
        <v>350957.92</v>
      </c>
      <c r="E101" s="233">
        <f>E79+E100</f>
        <v>111715.63500000002</v>
      </c>
      <c r="F101" s="233">
        <f>F79+F100</f>
        <v>116722.93999999999</v>
      </c>
      <c r="G101" s="234">
        <f>F101-E101</f>
        <v>5007.304999999964</v>
      </c>
      <c r="H101" s="285">
        <f>F101/E101</f>
        <v>1.044821881914738</v>
      </c>
      <c r="I101" s="227">
        <f>F101-D101</f>
        <v>-234234.97999999998</v>
      </c>
      <c r="J101" s="228">
        <f>F101/D101</f>
        <v>0.33258386076598584</v>
      </c>
      <c r="K101" s="227"/>
      <c r="L101" s="227"/>
      <c r="M101" s="227"/>
      <c r="N101" s="227">
        <f>N79+N100</f>
        <v>1433558.23</v>
      </c>
      <c r="O101" s="227">
        <f>D101-N101</f>
        <v>-1082600.31</v>
      </c>
      <c r="P101" s="228">
        <f>D101/N101</f>
        <v>0.24481595002945922</v>
      </c>
      <c r="Q101" s="227">
        <f>Q79+Q100</f>
        <v>98203.20999999999</v>
      </c>
      <c r="R101" s="227">
        <f>R79+R100</f>
        <v>18519.73</v>
      </c>
      <c r="S101" s="228">
        <f t="shared" si="39"/>
        <v>1.1885857906274142</v>
      </c>
      <c r="T101" s="234">
        <f>T79+T100</f>
        <v>111715.63500000002</v>
      </c>
      <c r="U101" s="234">
        <f>U79+U100</f>
        <v>116722.93999999999</v>
      </c>
      <c r="V101" s="227">
        <f>U101-T101</f>
        <v>5007.304999999964</v>
      </c>
      <c r="W101" s="228">
        <f>U101/T101</f>
        <v>1.044821881914738</v>
      </c>
      <c r="X101" s="264">
        <f>S101-P101</f>
        <v>0.943769840597955</v>
      </c>
    </row>
    <row r="102" spans="2:24" ht="15">
      <c r="B102" s="19" t="s">
        <v>32</v>
      </c>
      <c r="U102" s="24"/>
      <c r="X102" s="264"/>
    </row>
    <row r="103" spans="2:24" ht="15">
      <c r="B103" s="4" t="s">
        <v>34</v>
      </c>
      <c r="C103" s="71">
        <v>0</v>
      </c>
      <c r="D103" s="4" t="s">
        <v>33</v>
      </c>
      <c r="U103" s="73"/>
      <c r="X103" s="264"/>
    </row>
    <row r="104" spans="2:24" ht="30.75">
      <c r="B104" s="47" t="s">
        <v>51</v>
      </c>
      <c r="C104" s="26">
        <f>IF(V79&lt;0,ABS(V79/C103),0)</f>
        <v>0</v>
      </c>
      <c r="D104" s="4" t="s">
        <v>24</v>
      </c>
      <c r="G104" s="387"/>
      <c r="H104" s="387"/>
      <c r="I104" s="387"/>
      <c r="J104" s="387"/>
      <c r="K104" s="79"/>
      <c r="L104" s="79"/>
      <c r="M104" s="79"/>
      <c r="N104" s="79"/>
      <c r="O104" s="79"/>
      <c r="P104" s="244"/>
      <c r="Q104" s="79"/>
      <c r="R104" s="79"/>
      <c r="S104" s="79"/>
      <c r="W104" s="24"/>
      <c r="X104" s="264"/>
    </row>
    <row r="105" spans="2:24" ht="34.5" customHeight="1">
      <c r="B105" s="48" t="s">
        <v>53</v>
      </c>
      <c r="C105" s="76">
        <v>43131</v>
      </c>
      <c r="D105" s="26">
        <v>11595.9</v>
      </c>
      <c r="G105" s="4" t="s">
        <v>56</v>
      </c>
      <c r="U105" s="375"/>
      <c r="V105" s="375"/>
      <c r="X105" s="264"/>
    </row>
    <row r="106" spans="3:24" ht="15">
      <c r="C106" s="76">
        <v>43130</v>
      </c>
      <c r="D106" s="26">
        <v>10674.1</v>
      </c>
      <c r="G106" s="371"/>
      <c r="H106" s="371"/>
      <c r="I106" s="96"/>
      <c r="J106" s="224"/>
      <c r="K106" s="224"/>
      <c r="L106" s="224"/>
      <c r="M106" s="224"/>
      <c r="N106" s="224"/>
      <c r="O106" s="224"/>
      <c r="P106" s="245"/>
      <c r="Q106" s="224"/>
      <c r="R106" s="224"/>
      <c r="S106" s="224"/>
      <c r="T106" s="224"/>
      <c r="U106" s="375"/>
      <c r="V106" s="375"/>
      <c r="X106" s="264"/>
    </row>
    <row r="107" spans="3:24" ht="15.75" customHeight="1">
      <c r="C107" s="76">
        <v>43129</v>
      </c>
      <c r="D107" s="26">
        <v>8695.2</v>
      </c>
      <c r="G107" s="371"/>
      <c r="H107" s="371"/>
      <c r="I107" s="96"/>
      <c r="J107" s="225"/>
      <c r="K107" s="225"/>
      <c r="L107" s="225"/>
      <c r="M107" s="225"/>
      <c r="N107" s="225"/>
      <c r="O107" s="225"/>
      <c r="P107" s="246"/>
      <c r="Q107" s="225"/>
      <c r="R107" s="225"/>
      <c r="S107" s="225"/>
      <c r="T107" s="225"/>
      <c r="U107" s="375"/>
      <c r="V107" s="375"/>
      <c r="X107" s="264"/>
    </row>
    <row r="108" spans="3:24" ht="15.75" customHeight="1">
      <c r="C108" s="76"/>
      <c r="F108" s="63"/>
      <c r="G108" s="376"/>
      <c r="H108" s="376"/>
      <c r="I108" s="102"/>
      <c r="J108" s="224"/>
      <c r="K108" s="224"/>
      <c r="L108" s="224"/>
      <c r="M108" s="224"/>
      <c r="N108" s="224"/>
      <c r="O108" s="224"/>
      <c r="P108" s="245"/>
      <c r="Q108" s="224"/>
      <c r="R108" s="224"/>
      <c r="S108" s="224"/>
      <c r="T108" s="224"/>
      <c r="X108" s="264"/>
    </row>
    <row r="109" spans="2:24" ht="18" customHeight="1">
      <c r="B109" s="369" t="s">
        <v>54</v>
      </c>
      <c r="C109" s="370"/>
      <c r="D109" s="110">
        <f>'[1]залишки'!$G$6/1000</f>
        <v>1.88</v>
      </c>
      <c r="E109" s="64"/>
      <c r="F109" s="103" t="s">
        <v>99</v>
      </c>
      <c r="G109" s="371"/>
      <c r="H109" s="371"/>
      <c r="I109" s="104"/>
      <c r="J109" s="224"/>
      <c r="K109" s="224"/>
      <c r="L109" s="224"/>
      <c r="M109" s="224"/>
      <c r="N109" s="224"/>
      <c r="O109" s="224"/>
      <c r="P109" s="245"/>
      <c r="Q109" s="224"/>
      <c r="R109" s="224"/>
      <c r="S109" s="224"/>
      <c r="T109" s="224"/>
      <c r="X109" s="264"/>
    </row>
    <row r="110" spans="6:24" ht="9.75" customHeight="1">
      <c r="F110" s="63"/>
      <c r="G110" s="371"/>
      <c r="H110" s="371"/>
      <c r="I110" s="63"/>
      <c r="J110" s="64"/>
      <c r="K110" s="64"/>
      <c r="L110" s="64"/>
      <c r="M110" s="64"/>
      <c r="N110" s="64"/>
      <c r="O110" s="64"/>
      <c r="P110" s="247"/>
      <c r="Q110" s="64"/>
      <c r="R110" s="64"/>
      <c r="S110" s="64"/>
      <c r="X110" s="264"/>
    </row>
    <row r="111" spans="2:24" ht="22.5" customHeight="1" hidden="1">
      <c r="B111" s="372" t="s">
        <v>57</v>
      </c>
      <c r="C111" s="373"/>
      <c r="D111" s="75">
        <v>0</v>
      </c>
      <c r="E111" s="46" t="s">
        <v>24</v>
      </c>
      <c r="F111" s="63"/>
      <c r="G111" s="371"/>
      <c r="H111" s="371"/>
      <c r="I111" s="63"/>
      <c r="J111" s="64"/>
      <c r="K111" s="64"/>
      <c r="L111" s="64"/>
      <c r="M111" s="64"/>
      <c r="N111" s="64"/>
      <c r="O111" s="64"/>
      <c r="P111" s="247"/>
      <c r="Q111" s="304"/>
      <c r="R111" s="304"/>
      <c r="S111" s="304"/>
      <c r="T111" s="3"/>
      <c r="U111" s="3"/>
      <c r="V111" s="3"/>
      <c r="W111" s="3"/>
      <c r="X111" s="264"/>
    </row>
    <row r="112" spans="2:24" ht="15" hidden="1">
      <c r="B112" s="220" t="s">
        <v>125</v>
      </c>
      <c r="D112" s="63">
        <f>D60+D63+D64</f>
        <v>523</v>
      </c>
      <c r="E112" s="63">
        <f>E60+E63+E64</f>
        <v>171</v>
      </c>
      <c r="F112" s="166">
        <f>F60+F63+F64</f>
        <v>149.62</v>
      </c>
      <c r="G112" s="63">
        <f>G60+G63+G64</f>
        <v>-21.380000000000006</v>
      </c>
      <c r="H112" s="64"/>
      <c r="I112" s="64"/>
      <c r="Q112" s="3"/>
      <c r="R112" s="3"/>
      <c r="S112" s="3"/>
      <c r="T112" s="94"/>
      <c r="U112" s="94"/>
      <c r="V112" s="94"/>
      <c r="W112" s="3"/>
      <c r="X112" s="264"/>
    </row>
    <row r="113" spans="4:24" ht="15" hidden="1">
      <c r="D113" s="73"/>
      <c r="I113" s="26"/>
      <c r="Q113" s="3"/>
      <c r="R113" s="3"/>
      <c r="S113" s="3"/>
      <c r="T113" s="3"/>
      <c r="U113" s="374"/>
      <c r="V113" s="374"/>
      <c r="W113" s="3"/>
      <c r="X113" s="264"/>
    </row>
    <row r="114" spans="2:24" ht="15" hidden="1">
      <c r="B114" s="4" t="s">
        <v>109</v>
      </c>
      <c r="D114" s="26">
        <f>D9+D15+D18+D19+D23+D54+D57+D77+D71</f>
        <v>336862.36</v>
      </c>
      <c r="E114" s="26">
        <f>E9+E15+E18+E19+E23+E54+E57+E77+E71</f>
        <v>108148.45000000001</v>
      </c>
      <c r="F114" s="189">
        <f>F9+F15+F18+F19+F23+F54+F57+F77+F71</f>
        <v>112033.91</v>
      </c>
      <c r="G114" s="26">
        <f>F114-E114</f>
        <v>3885.459999999992</v>
      </c>
      <c r="H114" s="190">
        <f>F114/E114</f>
        <v>1.0359270983541604</v>
      </c>
      <c r="I114" s="26">
        <f>F114-D114</f>
        <v>-224828.44999999998</v>
      </c>
      <c r="J114" s="190">
        <f>F114/D114</f>
        <v>0.3325806718209776</v>
      </c>
      <c r="K114" s="190"/>
      <c r="L114" s="190"/>
      <c r="M114" s="190"/>
      <c r="N114" s="190"/>
      <c r="O114" s="190"/>
      <c r="Q114" s="3"/>
      <c r="R114" s="3"/>
      <c r="S114" s="3"/>
      <c r="T114" s="94"/>
      <c r="U114" s="94"/>
      <c r="V114" s="94"/>
      <c r="W114" s="335"/>
      <c r="X114" s="264"/>
    </row>
    <row r="115" spans="2:24" ht="15" hidden="1">
      <c r="B115" s="4" t="s">
        <v>110</v>
      </c>
      <c r="D115" s="26">
        <f>D55+D56+D58+D60+D62+D63+D64+D65+D66+D72+D76+D59+D78</f>
        <v>11818.3</v>
      </c>
      <c r="E115" s="26">
        <f>E55+E56+E58+E60+E62+E63+E64+E65+E66+E72+E76+E59+E78</f>
        <v>2808.1</v>
      </c>
      <c r="F115" s="189">
        <f>F55+F56+F58+F60+F62+F63+F64+F65+F66+F72+F76+F59+F78</f>
        <v>3244.629999999999</v>
      </c>
      <c r="G115" s="26">
        <f>G55+G56+G58+G60+G62+G63+G64+G65+G66+G72+G76+G59</f>
        <v>436.52999999999986</v>
      </c>
      <c r="H115" s="190">
        <f>F115/E115</f>
        <v>1.1554538656030766</v>
      </c>
      <c r="I115" s="26">
        <f>I55+I56+I58+I60+I62+I63+I64+I65+I66+I72+I76+I59</f>
        <v>-8573.67</v>
      </c>
      <c r="J115" s="190">
        <f>F115/D115</f>
        <v>0.27454286995591576</v>
      </c>
      <c r="K115" s="190"/>
      <c r="L115" s="190"/>
      <c r="M115" s="190"/>
      <c r="N115" s="190"/>
      <c r="O115" s="190"/>
      <c r="Q115" s="94"/>
      <c r="R115" s="94"/>
      <c r="S115" s="94"/>
      <c r="T115" s="94"/>
      <c r="U115" s="94"/>
      <c r="V115" s="94"/>
      <c r="W115" s="335"/>
      <c r="X115" s="264"/>
    </row>
    <row r="116" spans="2:24" ht="15" hidden="1">
      <c r="B116" s="4" t="s">
        <v>111</v>
      </c>
      <c r="D116" s="26">
        <f>SUM(D114:D115)</f>
        <v>348680.66</v>
      </c>
      <c r="E116" s="26">
        <f>SUM(E114:E115)</f>
        <v>110956.55000000002</v>
      </c>
      <c r="F116" s="26">
        <f>SUM(F114:F115)</f>
        <v>115278.54000000001</v>
      </c>
      <c r="G116" s="26">
        <f>SUM(G114:G115)</f>
        <v>4321.989999999992</v>
      </c>
      <c r="H116" s="190">
        <f>F116/E116</f>
        <v>1.0389520943107908</v>
      </c>
      <c r="I116" s="26">
        <f>SUM(I114:I115)</f>
        <v>-233402.12</v>
      </c>
      <c r="J116" s="190">
        <f>F116/D116</f>
        <v>0.3306135189717721</v>
      </c>
      <c r="K116" s="190"/>
      <c r="L116" s="190"/>
      <c r="M116" s="190"/>
      <c r="N116" s="190"/>
      <c r="O116" s="190"/>
      <c r="Q116" s="94"/>
      <c r="R116" s="94"/>
      <c r="S116" s="94"/>
      <c r="T116" s="94"/>
      <c r="U116" s="94"/>
      <c r="V116" s="94"/>
      <c r="W116" s="335"/>
      <c r="X116" s="264"/>
    </row>
    <row r="117" spans="4:24" ht="15" hidden="1">
      <c r="D117" s="26">
        <f>D79-D116</f>
        <v>0</v>
      </c>
      <c r="E117" s="26" t="e">
        <f>#N/A</f>
        <v>#N/A</v>
      </c>
      <c r="F117" s="26" t="e">
        <f>#N/A</f>
        <v>#N/A</v>
      </c>
      <c r="G117" s="26" t="e">
        <f>#N/A</f>
        <v>#N/A</v>
      </c>
      <c r="H117" s="190"/>
      <c r="I117" s="26" t="e">
        <f>#N/A</f>
        <v>#N/A</v>
      </c>
      <c r="J117" s="190"/>
      <c r="K117" s="190"/>
      <c r="L117" s="190"/>
      <c r="M117" s="190"/>
      <c r="N117" s="190"/>
      <c r="O117" s="190"/>
      <c r="Q117" s="94"/>
      <c r="R117" s="94"/>
      <c r="S117" s="94"/>
      <c r="T117" s="94"/>
      <c r="U117" s="94"/>
      <c r="V117" s="94"/>
      <c r="W117" s="94"/>
      <c r="X117" s="264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4"/>
    </row>
    <row r="119" spans="2:24" ht="15" hidden="1">
      <c r="B119" s="202" t="s">
        <v>116</v>
      </c>
      <c r="E119" s="26">
        <f>E79-E9-E20-E35-E47</f>
        <v>7314.200000000019</v>
      </c>
      <c r="X119" s="264"/>
    </row>
    <row r="120" spans="2:24" ht="15" hidden="1">
      <c r="B120" s="202" t="s">
        <v>117</v>
      </c>
      <c r="E120" s="26">
        <f>E100-E95-E88-E89</f>
        <v>0</v>
      </c>
      <c r="X120" s="264"/>
    </row>
    <row r="121" ht="15" hidden="1">
      <c r="X121" s="264"/>
    </row>
    <row r="122" spans="2:24" ht="18" hidden="1">
      <c r="B122" s="100" t="s">
        <v>112</v>
      </c>
      <c r="C122" s="38">
        <v>25000000</v>
      </c>
      <c r="D122" s="146">
        <v>72408.22</v>
      </c>
      <c r="E122" s="146">
        <v>18102.06</v>
      </c>
      <c r="F122" s="147">
        <v>20254.32</v>
      </c>
      <c r="G122" s="133">
        <f>F122-E122</f>
        <v>2152.2599999999984</v>
      </c>
      <c r="H122" s="135">
        <f>F122/E122*100</f>
        <v>111.88958604711286</v>
      </c>
      <c r="I122" s="138">
        <f>F122-D122</f>
        <v>-52153.9</v>
      </c>
      <c r="J122" s="138">
        <f>F122/D122*100</f>
        <v>27.972404238082362</v>
      </c>
      <c r="K122" s="138"/>
      <c r="L122" s="138"/>
      <c r="M122" s="138"/>
      <c r="N122" s="138"/>
      <c r="O122" s="138"/>
      <c r="P122" s="172"/>
      <c r="Q122" s="138"/>
      <c r="R122" s="138"/>
      <c r="S122" s="209"/>
      <c r="T122" s="207"/>
      <c r="U122" s="207"/>
      <c r="V122" s="208"/>
      <c r="W122" s="208"/>
      <c r="X122" s="264"/>
    </row>
    <row r="123" spans="2:24" ht="23.25" customHeight="1" hidden="1">
      <c r="B123" s="13" t="s">
        <v>30</v>
      </c>
      <c r="C123" s="61"/>
      <c r="D123" s="156">
        <f>D100+D122</f>
        <v>74685.48</v>
      </c>
      <c r="E123" s="156">
        <f>E100+E122</f>
        <v>18861.145</v>
      </c>
      <c r="F123" s="156">
        <f>F100+F122</f>
        <v>21698.72</v>
      </c>
      <c r="G123" s="157">
        <f>F123-E123</f>
        <v>2837.5750000000007</v>
      </c>
      <c r="H123" s="158">
        <f>F123/E123*100</f>
        <v>115.04455323364515</v>
      </c>
      <c r="I123" s="159">
        <f>F123-D123</f>
        <v>-52986.759999999995</v>
      </c>
      <c r="J123" s="159">
        <f>F123/D123*100</f>
        <v>29.053465278659257</v>
      </c>
      <c r="K123" s="159"/>
      <c r="L123" s="159"/>
      <c r="M123" s="159"/>
      <c r="N123" s="159"/>
      <c r="O123" s="159"/>
      <c r="P123" s="182"/>
      <c r="Q123" s="159">
        <v>3039.87</v>
      </c>
      <c r="R123" s="159">
        <f>F123-Q123</f>
        <v>18658.850000000002</v>
      </c>
      <c r="S123" s="210">
        <f>F123/Q123</f>
        <v>7.138042087326103</v>
      </c>
      <c r="T123" s="211"/>
      <c r="U123" s="211"/>
      <c r="V123" s="212"/>
      <c r="W123" s="212"/>
      <c r="X123" s="264"/>
    </row>
    <row r="124" spans="2:24" ht="17.25" hidden="1">
      <c r="B124" s="20" t="s">
        <v>121</v>
      </c>
      <c r="C124" s="61"/>
      <c r="D124" s="156">
        <f>D123+D79</f>
        <v>423366.13999999996</v>
      </c>
      <c r="E124" s="156">
        <f>E123+E79</f>
        <v>129817.69500000002</v>
      </c>
      <c r="F124" s="156">
        <f>F123+F79</f>
        <v>136977.26</v>
      </c>
      <c r="G124" s="157">
        <f>F124-E124</f>
        <v>7159.564999999988</v>
      </c>
      <c r="H124" s="158">
        <f>F124/E124*100</f>
        <v>105.51509176002547</v>
      </c>
      <c r="I124" s="159">
        <f>F124-D124</f>
        <v>-286388.87999999995</v>
      </c>
      <c r="J124" s="159">
        <f>F124/D124*100</f>
        <v>32.35432573800069</v>
      </c>
      <c r="K124" s="159"/>
      <c r="L124" s="159"/>
      <c r="M124" s="159"/>
      <c r="N124" s="159"/>
      <c r="O124" s="159"/>
      <c r="P124" s="182"/>
      <c r="Q124" s="159">
        <f>Q101+Q123</f>
        <v>101243.07999999999</v>
      </c>
      <c r="R124" s="159">
        <f>F124-Q124</f>
        <v>35734.18000000002</v>
      </c>
      <c r="S124" s="210">
        <f>F124/Q124</f>
        <v>1.3529542957405092</v>
      </c>
      <c r="T124" s="213"/>
      <c r="U124" s="213"/>
      <c r="V124" s="212"/>
      <c r="W124" s="212"/>
      <c r="X124" s="264"/>
    </row>
    <row r="125" spans="2:24" ht="15" hidden="1">
      <c r="B125" s="198" t="s">
        <v>123</v>
      </c>
      <c r="C125" s="196">
        <v>40000000</v>
      </c>
      <c r="D125" s="201" t="e">
        <f>#N/A</f>
        <v>#N/A</v>
      </c>
      <c r="E125" s="201" t="e">
        <f>#N/A</f>
        <v>#N/A</v>
      </c>
      <c r="F125" s="201" t="e">
        <f>#N/A</f>
        <v>#N/A</v>
      </c>
      <c r="G125" s="201" t="e">
        <f>#N/A</f>
        <v>#N/A</v>
      </c>
      <c r="H125" s="201" t="e">
        <f>F125/E125*100</f>
        <v>#N/A</v>
      </c>
      <c r="I125" s="33" t="e">
        <f>#N/A</f>
        <v>#N/A</v>
      </c>
      <c r="J125" s="33" t="e">
        <f>F125/D125*100</f>
        <v>#N/A</v>
      </c>
      <c r="K125" s="237"/>
      <c r="L125" s="237"/>
      <c r="M125" s="237"/>
      <c r="N125" s="237"/>
      <c r="O125" s="237"/>
      <c r="P125" s="248"/>
      <c r="W125" s="81"/>
      <c r="X125" s="264"/>
    </row>
    <row r="126" spans="2:24" ht="26.25" hidden="1">
      <c r="B126" s="197" t="s">
        <v>114</v>
      </c>
      <c r="C126" s="196">
        <v>41033900</v>
      </c>
      <c r="D126" s="201">
        <v>243334.5</v>
      </c>
      <c r="E126" s="201">
        <v>56191.6</v>
      </c>
      <c r="F126" s="201">
        <v>56191.6</v>
      </c>
      <c r="G126" s="201" t="e">
        <f>#N/A</f>
        <v>#N/A</v>
      </c>
      <c r="H126" s="201" t="e">
        <f>#N/A</f>
        <v>#N/A</v>
      </c>
      <c r="I126" s="33" t="e">
        <f>#N/A</f>
        <v>#N/A</v>
      </c>
      <c r="J126" s="33" t="e">
        <f>#N/A</f>
        <v>#N/A</v>
      </c>
      <c r="K126" s="237"/>
      <c r="L126" s="237"/>
      <c r="M126" s="237"/>
      <c r="N126" s="237"/>
      <c r="O126" s="237"/>
      <c r="P126" s="248"/>
      <c r="W126" s="81"/>
      <c r="X126" s="264"/>
    </row>
    <row r="127" spans="2:24" ht="26.25" hidden="1">
      <c r="B127" s="197" t="s">
        <v>115</v>
      </c>
      <c r="C127" s="196">
        <v>41034200</v>
      </c>
      <c r="D127" s="201">
        <v>238249.5</v>
      </c>
      <c r="E127" s="201">
        <v>59541.9</v>
      </c>
      <c r="F127" s="201">
        <v>59541.9</v>
      </c>
      <c r="G127" s="201" t="e">
        <f>#N/A</f>
        <v>#N/A</v>
      </c>
      <c r="H127" s="201" t="e">
        <f>#N/A</f>
        <v>#N/A</v>
      </c>
      <c r="I127" s="33" t="e">
        <f>#N/A</f>
        <v>#N/A</v>
      </c>
      <c r="J127" s="33" t="e">
        <f>#N/A</f>
        <v>#N/A</v>
      </c>
      <c r="K127" s="237"/>
      <c r="L127" s="237"/>
      <c r="M127" s="237"/>
      <c r="N127" s="237"/>
      <c r="O127" s="237"/>
      <c r="P127" s="248"/>
      <c r="W127" s="81"/>
      <c r="X127" s="264"/>
    </row>
    <row r="128" spans="2:24" s="199" customFormat="1" ht="25.5" customHeight="1" hidden="1">
      <c r="B128" s="214" t="s">
        <v>113</v>
      </c>
      <c r="C128" s="215"/>
      <c r="D128" s="216" t="e">
        <f>D124+D125</f>
        <v>#N/A</v>
      </c>
      <c r="E128" s="216" t="e">
        <f>E124+E125</f>
        <v>#N/A</v>
      </c>
      <c r="F128" s="216" t="e">
        <f>F124+F125</f>
        <v>#N/A</v>
      </c>
      <c r="G128" s="217" t="e">
        <f>#N/A</f>
        <v>#N/A</v>
      </c>
      <c r="H128" s="216" t="e">
        <f>#N/A</f>
        <v>#N/A</v>
      </c>
      <c r="I128" s="218" t="e">
        <f>#N/A</f>
        <v>#N/A</v>
      </c>
      <c r="J128" s="218" t="e">
        <f>#N/A</f>
        <v>#N/A</v>
      </c>
      <c r="K128" s="238"/>
      <c r="L128" s="238"/>
      <c r="M128" s="238"/>
      <c r="N128" s="238"/>
      <c r="O128" s="238"/>
      <c r="P128" s="249"/>
      <c r="W128" s="200"/>
      <c r="X128" s="264"/>
    </row>
    <row r="129" ht="15" hidden="1">
      <c r="X129" s="264"/>
    </row>
    <row r="130" ht="15" hidden="1">
      <c r="X130" s="264"/>
    </row>
    <row r="131" ht="15" hidden="1">
      <c r="X131" s="264"/>
    </row>
    <row r="132" ht="15" hidden="1">
      <c r="X132" s="264"/>
    </row>
    <row r="133" ht="15" hidden="1">
      <c r="X133" s="264"/>
    </row>
    <row r="134" ht="15" hidden="1">
      <c r="X134" s="264"/>
    </row>
    <row r="135" spans="2:24" ht="15" hidden="1">
      <c r="B135" s="261" t="s">
        <v>145</v>
      </c>
      <c r="X135" s="264"/>
    </row>
    <row r="136" spans="1:24" s="6" customFormat="1" ht="30.75" customHeight="1" hidden="1">
      <c r="A136" s="8"/>
      <c r="B136" s="252" t="str">
        <f>B17</f>
        <v>Рентна плата за спеціальне використання лісових ресурсів</v>
      </c>
      <c r="C136" s="297">
        <f>C17</f>
        <v>13010200</v>
      </c>
      <c r="D136" s="313">
        <f aca="true" t="shared" si="47" ref="D136:S137">D17</f>
        <v>0</v>
      </c>
      <c r="E136" s="313">
        <f t="shared" si="47"/>
        <v>0</v>
      </c>
      <c r="F136" s="315">
        <f t="shared" si="47"/>
        <v>0</v>
      </c>
      <c r="G136" s="313">
        <f t="shared" si="47"/>
        <v>0</v>
      </c>
      <c r="H136" s="324">
        <f t="shared" si="47"/>
        <v>0</v>
      </c>
      <c r="I136" s="323">
        <f t="shared" si="47"/>
        <v>0</v>
      </c>
      <c r="J136" s="324">
        <f t="shared" si="47"/>
        <v>0</v>
      </c>
      <c r="K136" s="185">
        <f t="shared" si="47"/>
        <v>0</v>
      </c>
      <c r="L136" s="185">
        <f t="shared" si="47"/>
        <v>0</v>
      </c>
      <c r="M136" s="185">
        <f t="shared" si="47"/>
        <v>0</v>
      </c>
      <c r="N136" s="323">
        <f t="shared" si="47"/>
        <v>0.49</v>
      </c>
      <c r="O136" s="323">
        <f t="shared" si="47"/>
        <v>-0.49</v>
      </c>
      <c r="P136" s="324">
        <f t="shared" si="47"/>
        <v>0</v>
      </c>
      <c r="Q136" s="323">
        <f t="shared" si="47"/>
        <v>0</v>
      </c>
      <c r="R136" s="322">
        <f t="shared" si="47"/>
        <v>0</v>
      </c>
      <c r="S136" s="324" t="e">
        <f t="shared" si="47"/>
        <v>#DIV/0!</v>
      </c>
      <c r="T136" s="300"/>
      <c r="U136" s="300"/>
      <c r="V136" s="300"/>
      <c r="W136" s="300"/>
      <c r="X136" s="264" t="e">
        <f aca="true" t="shared" si="48" ref="X136:X145">S136-P136</f>
        <v>#DIV/0!</v>
      </c>
    </row>
    <row r="137" spans="1:24" s="6" customFormat="1" ht="30.75" hidden="1">
      <c r="A137" s="8"/>
      <c r="B137" s="253" t="str">
        <f>B18</f>
        <v>Рентна плата за користування надрами для видобування корисних копалин місцевого значення</v>
      </c>
      <c r="C137" s="297">
        <f>C18</f>
        <v>13030200</v>
      </c>
      <c r="D137" s="313">
        <f t="shared" si="47"/>
        <v>110</v>
      </c>
      <c r="E137" s="313">
        <f t="shared" si="47"/>
        <v>0</v>
      </c>
      <c r="F137" s="315">
        <f t="shared" si="47"/>
        <v>0</v>
      </c>
      <c r="G137" s="313">
        <f t="shared" si="47"/>
        <v>0</v>
      </c>
      <c r="H137" s="324" t="e">
        <f t="shared" si="47"/>
        <v>#DIV/0!</v>
      </c>
      <c r="I137" s="313">
        <f t="shared" si="47"/>
        <v>-110</v>
      </c>
      <c r="J137" s="324">
        <f t="shared" si="47"/>
        <v>0</v>
      </c>
      <c r="K137" s="108">
        <f t="shared" si="47"/>
        <v>0</v>
      </c>
      <c r="L137" s="108">
        <f t="shared" si="47"/>
        <v>0</v>
      </c>
      <c r="M137" s="108">
        <f t="shared" si="47"/>
        <v>0</v>
      </c>
      <c r="N137" s="323">
        <f t="shared" si="47"/>
        <v>220.59</v>
      </c>
      <c r="O137" s="323">
        <f t="shared" si="47"/>
        <v>-110.59</v>
      </c>
      <c r="P137" s="324">
        <f t="shared" si="47"/>
        <v>0.4986626773652477</v>
      </c>
      <c r="Q137" s="323">
        <f t="shared" si="47"/>
        <v>0</v>
      </c>
      <c r="R137" s="322">
        <f t="shared" si="47"/>
        <v>0</v>
      </c>
      <c r="S137" s="324" t="e">
        <f t="shared" si="47"/>
        <v>#DIV/0!</v>
      </c>
      <c r="T137" s="301"/>
      <c r="U137" s="301"/>
      <c r="V137" s="301"/>
      <c r="W137" s="301"/>
      <c r="X137" s="264" t="e">
        <f t="shared" si="48"/>
        <v>#DIV/0!</v>
      </c>
    </row>
    <row r="138" spans="1:24" s="6" customFormat="1" ht="15" hidden="1">
      <c r="A138" s="8"/>
      <c r="B138" s="254" t="str">
        <f aca="true" t="shared" si="49" ref="B138:S141">B56</f>
        <v>Інші надходження (по актам ДФІУ)</v>
      </c>
      <c r="C138" s="298">
        <f t="shared" si="49"/>
        <v>21080500</v>
      </c>
      <c r="D138" s="316">
        <f t="shared" si="49"/>
        <v>2</v>
      </c>
      <c r="E138" s="316">
        <f t="shared" si="49"/>
        <v>0</v>
      </c>
      <c r="F138" s="317">
        <f t="shared" si="49"/>
        <v>0</v>
      </c>
      <c r="G138" s="316">
        <f t="shared" si="49"/>
        <v>0</v>
      </c>
      <c r="H138" s="325" t="e">
        <f t="shared" si="49"/>
        <v>#DIV/0!</v>
      </c>
      <c r="I138" s="322">
        <f t="shared" si="49"/>
        <v>-2</v>
      </c>
      <c r="J138" s="325">
        <f t="shared" si="49"/>
        <v>0</v>
      </c>
      <c r="K138" s="107">
        <f t="shared" si="49"/>
        <v>0</v>
      </c>
      <c r="L138" s="107">
        <f t="shared" si="49"/>
        <v>0</v>
      </c>
      <c r="M138" s="107">
        <f t="shared" si="49"/>
        <v>0</v>
      </c>
      <c r="N138" s="322">
        <f t="shared" si="49"/>
        <v>153.3</v>
      </c>
      <c r="O138" s="322">
        <f t="shared" si="49"/>
        <v>-151.3</v>
      </c>
      <c r="P138" s="325">
        <f t="shared" si="49"/>
        <v>0.01304631441617743</v>
      </c>
      <c r="Q138" s="322">
        <f t="shared" si="49"/>
        <v>14.87</v>
      </c>
      <c r="R138" s="322">
        <f t="shared" si="49"/>
        <v>-14.87</v>
      </c>
      <c r="S138" s="324">
        <f t="shared" si="49"/>
        <v>0</v>
      </c>
      <c r="T138" s="300"/>
      <c r="U138" s="300"/>
      <c r="V138" s="300"/>
      <c r="W138" s="300"/>
      <c r="X138" s="264">
        <f t="shared" si="48"/>
        <v>-0.01304631441617743</v>
      </c>
    </row>
    <row r="139" spans="1:24" s="6" customFormat="1" ht="30.75" hidden="1">
      <c r="A139" s="8"/>
      <c r="B139" s="255" t="str">
        <f t="shared" si="49"/>
        <v>Штрафні санкції за порушення законодавства про патентування</v>
      </c>
      <c r="C139" s="299">
        <f t="shared" si="49"/>
        <v>21080900</v>
      </c>
      <c r="D139" s="318">
        <f t="shared" si="49"/>
        <v>1.5</v>
      </c>
      <c r="E139" s="318">
        <f t="shared" si="49"/>
        <v>0.5</v>
      </c>
      <c r="F139" s="319">
        <f t="shared" si="49"/>
        <v>2.02</v>
      </c>
      <c r="G139" s="318">
        <f t="shared" si="49"/>
        <v>1.52</v>
      </c>
      <c r="H139" s="326">
        <f t="shared" si="49"/>
        <v>4.04</v>
      </c>
      <c r="I139" s="318">
        <f t="shared" si="49"/>
        <v>0.52</v>
      </c>
      <c r="J139" s="326">
        <f t="shared" si="49"/>
        <v>1.3466666666666667</v>
      </c>
      <c r="K139" s="195">
        <f t="shared" si="49"/>
        <v>0</v>
      </c>
      <c r="L139" s="195">
        <f t="shared" si="49"/>
        <v>0</v>
      </c>
      <c r="M139" s="195">
        <f t="shared" si="49"/>
        <v>0</v>
      </c>
      <c r="N139" s="327">
        <f t="shared" si="49"/>
        <v>12.95</v>
      </c>
      <c r="O139" s="327">
        <f t="shared" si="49"/>
        <v>-11.45</v>
      </c>
      <c r="P139" s="326">
        <f t="shared" si="49"/>
        <v>0.11583011583011583</v>
      </c>
      <c r="Q139" s="327">
        <f t="shared" si="49"/>
        <v>0</v>
      </c>
      <c r="R139" s="327">
        <f t="shared" si="49"/>
        <v>2.02</v>
      </c>
      <c r="S139" s="331">
        <f t="shared" si="49"/>
        <v>0</v>
      </c>
      <c r="T139" s="302"/>
      <c r="U139" s="302"/>
      <c r="V139" s="302"/>
      <c r="W139" s="302"/>
      <c r="X139" s="264">
        <f t="shared" si="48"/>
        <v>-0.11583011583011583</v>
      </c>
    </row>
    <row r="140" spans="1:24" s="6" customFormat="1" ht="15" hidden="1">
      <c r="A140" s="8"/>
      <c r="B140" s="253" t="str">
        <f t="shared" si="49"/>
        <v>Адмінстративні штрафи та інші санкції</v>
      </c>
      <c r="C140" s="297">
        <f t="shared" si="49"/>
        <v>21081100</v>
      </c>
      <c r="D140" s="313">
        <f t="shared" si="49"/>
        <v>60</v>
      </c>
      <c r="E140" s="313">
        <f t="shared" si="49"/>
        <v>20</v>
      </c>
      <c r="F140" s="315">
        <f t="shared" si="49"/>
        <v>28.43</v>
      </c>
      <c r="G140" s="313">
        <f t="shared" si="49"/>
        <v>8.43</v>
      </c>
      <c r="H140" s="324">
        <f t="shared" si="49"/>
        <v>1.4215</v>
      </c>
      <c r="I140" s="313">
        <f t="shared" si="49"/>
        <v>-31.57</v>
      </c>
      <c r="J140" s="324">
        <f t="shared" si="49"/>
        <v>0.47383333333333333</v>
      </c>
      <c r="K140" s="108">
        <f t="shared" si="49"/>
        <v>0</v>
      </c>
      <c r="L140" s="108">
        <f t="shared" si="49"/>
        <v>0</v>
      </c>
      <c r="M140" s="108">
        <f t="shared" si="49"/>
        <v>0</v>
      </c>
      <c r="N140" s="323">
        <f t="shared" si="49"/>
        <v>705.31</v>
      </c>
      <c r="O140" s="323">
        <f t="shared" si="49"/>
        <v>-645.31</v>
      </c>
      <c r="P140" s="324">
        <f t="shared" si="49"/>
        <v>0.08506897676199118</v>
      </c>
      <c r="Q140" s="323">
        <f t="shared" si="49"/>
        <v>11.17</v>
      </c>
      <c r="R140" s="322">
        <f t="shared" si="49"/>
        <v>17.259999999999998</v>
      </c>
      <c r="S140" s="324">
        <f t="shared" si="49"/>
        <v>2.5452103849597134</v>
      </c>
      <c r="T140" s="301"/>
      <c r="U140" s="301"/>
      <c r="V140" s="301"/>
      <c r="W140" s="301"/>
      <c r="X140" s="264">
        <f t="shared" si="48"/>
        <v>2.4601414081977224</v>
      </c>
    </row>
    <row r="141" spans="1:24" s="6" customFormat="1" ht="46.5" hidden="1">
      <c r="A141" s="8"/>
      <c r="B141" s="253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7">
        <f t="shared" si="49"/>
        <v>21081500</v>
      </c>
      <c r="D141" s="313">
        <f t="shared" si="49"/>
        <v>3</v>
      </c>
      <c r="E141" s="313">
        <f t="shared" si="49"/>
        <v>1</v>
      </c>
      <c r="F141" s="315">
        <f t="shared" si="49"/>
        <v>-6.55</v>
      </c>
      <c r="G141" s="313">
        <f t="shared" si="49"/>
        <v>-7.55</v>
      </c>
      <c r="H141" s="324">
        <f t="shared" si="49"/>
        <v>-6.55</v>
      </c>
      <c r="I141" s="313">
        <f t="shared" si="49"/>
        <v>-9.55</v>
      </c>
      <c r="J141" s="324">
        <f t="shared" si="49"/>
        <v>-2.183333333333333</v>
      </c>
      <c r="K141" s="108">
        <f t="shared" si="49"/>
        <v>0</v>
      </c>
      <c r="L141" s="108">
        <f t="shared" si="49"/>
        <v>0</v>
      </c>
      <c r="M141" s="108">
        <f t="shared" si="49"/>
        <v>0</v>
      </c>
      <c r="N141" s="323">
        <f t="shared" si="49"/>
        <v>114.3</v>
      </c>
      <c r="O141" s="323">
        <f t="shared" si="49"/>
        <v>-111.3</v>
      </c>
      <c r="P141" s="324">
        <f t="shared" si="49"/>
        <v>0.026246719160104987</v>
      </c>
      <c r="Q141" s="323">
        <f t="shared" si="49"/>
        <v>0</v>
      </c>
      <c r="R141" s="322">
        <f t="shared" si="49"/>
        <v>-6.55</v>
      </c>
      <c r="S141" s="324" t="e">
        <f t="shared" si="49"/>
        <v>#DIV/0!</v>
      </c>
      <c r="T141" s="301"/>
      <c r="U141" s="301"/>
      <c r="V141" s="301"/>
      <c r="W141" s="301"/>
      <c r="X141" s="264" t="e">
        <f t="shared" si="48"/>
        <v>#DIV/0!</v>
      </c>
    </row>
    <row r="142" spans="1:24" s="6" customFormat="1" ht="46.5" hidden="1">
      <c r="A142" s="8"/>
      <c r="B142" s="253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7" t="str">
        <f>C71</f>
        <v>24030000</v>
      </c>
      <c r="D142" s="313">
        <f aca="true" t="shared" si="50" ref="D142:S142">D71</f>
        <v>0</v>
      </c>
      <c r="E142" s="313">
        <f t="shared" si="50"/>
        <v>0</v>
      </c>
      <c r="F142" s="315">
        <f t="shared" si="50"/>
        <v>0</v>
      </c>
      <c r="G142" s="313">
        <f t="shared" si="50"/>
        <v>0</v>
      </c>
      <c r="H142" s="324" t="e">
        <f t="shared" si="50"/>
        <v>#DIV/0!</v>
      </c>
      <c r="I142" s="313">
        <f t="shared" si="50"/>
        <v>0</v>
      </c>
      <c r="J142" s="324" t="e">
        <f t="shared" si="50"/>
        <v>#DIV/0!</v>
      </c>
      <c r="K142" s="108">
        <f t="shared" si="50"/>
        <v>0</v>
      </c>
      <c r="L142" s="108">
        <f t="shared" si="50"/>
        <v>0</v>
      </c>
      <c r="M142" s="108">
        <f t="shared" si="50"/>
        <v>0</v>
      </c>
      <c r="N142" s="323">
        <f t="shared" si="50"/>
        <v>2.04</v>
      </c>
      <c r="O142" s="323">
        <f t="shared" si="50"/>
        <v>-2.04</v>
      </c>
      <c r="P142" s="324">
        <f t="shared" si="50"/>
        <v>0</v>
      </c>
      <c r="Q142" s="323">
        <f t="shared" si="50"/>
        <v>1.67</v>
      </c>
      <c r="R142" s="322">
        <f t="shared" si="50"/>
        <v>-1.67</v>
      </c>
      <c r="S142" s="324">
        <f t="shared" si="50"/>
        <v>0</v>
      </c>
      <c r="T142" s="301"/>
      <c r="U142" s="301"/>
      <c r="V142" s="301"/>
      <c r="W142" s="301"/>
      <c r="X142" s="264">
        <f t="shared" si="48"/>
        <v>0</v>
      </c>
    </row>
    <row r="143" spans="1:24" s="6" customFormat="1" ht="15" hidden="1">
      <c r="A143" s="8"/>
      <c r="B143" s="259" t="str">
        <f>B77</f>
        <v>Надходження коштів від реалізації безхазяйного майна</v>
      </c>
      <c r="C143" s="297">
        <f>C77</f>
        <v>31010200</v>
      </c>
      <c r="D143" s="320">
        <f aca="true" t="shared" si="51" ref="D143:S144">D77</f>
        <v>4.5</v>
      </c>
      <c r="E143" s="320">
        <f t="shared" si="51"/>
        <v>1.5</v>
      </c>
      <c r="F143" s="321">
        <f t="shared" si="51"/>
        <v>3.77</v>
      </c>
      <c r="G143" s="320">
        <f t="shared" si="51"/>
        <v>2.27</v>
      </c>
      <c r="H143" s="310">
        <f t="shared" si="51"/>
        <v>2.513333333333333</v>
      </c>
      <c r="I143" s="320">
        <f t="shared" si="51"/>
        <v>-0.73</v>
      </c>
      <c r="J143" s="310">
        <f t="shared" si="51"/>
        <v>0.8377777777777777</v>
      </c>
      <c r="K143" s="109">
        <f t="shared" si="51"/>
        <v>0</v>
      </c>
      <c r="L143" s="109">
        <f t="shared" si="51"/>
        <v>0</v>
      </c>
      <c r="M143" s="109">
        <f t="shared" si="51"/>
        <v>0</v>
      </c>
      <c r="N143" s="328">
        <f t="shared" si="51"/>
        <v>34.22</v>
      </c>
      <c r="O143" s="328">
        <f t="shared" si="51"/>
        <v>-29.72</v>
      </c>
      <c r="P143" s="310">
        <f t="shared" si="51"/>
        <v>0.1315020455873758</v>
      </c>
      <c r="Q143" s="328">
        <f t="shared" si="51"/>
        <v>1.49</v>
      </c>
      <c r="R143" s="329">
        <f t="shared" si="51"/>
        <v>2.2800000000000002</v>
      </c>
      <c r="S143" s="310">
        <f t="shared" si="51"/>
        <v>2.530201342281879</v>
      </c>
      <c r="T143" s="303"/>
      <c r="U143" s="303"/>
      <c r="V143" s="303"/>
      <c r="W143" s="303"/>
      <c r="X143" s="264">
        <f t="shared" si="48"/>
        <v>2.3986992966945033</v>
      </c>
    </row>
    <row r="144" spans="1:24" s="6" customFormat="1" ht="30.75" hidden="1">
      <c r="A144" s="8"/>
      <c r="B144" s="259" t="str">
        <f>B78</f>
        <v>Надходження коштів від Держ фонду дорогоцінних металів та дорогоцінного каміння</v>
      </c>
      <c r="C144" s="297">
        <f>C78</f>
        <v>31020000</v>
      </c>
      <c r="D144" s="320">
        <f t="shared" si="51"/>
        <v>0</v>
      </c>
      <c r="E144" s="320">
        <f t="shared" si="51"/>
        <v>0</v>
      </c>
      <c r="F144" s="321">
        <f t="shared" si="51"/>
        <v>0</v>
      </c>
      <c r="G144" s="320">
        <f t="shared" si="51"/>
        <v>0</v>
      </c>
      <c r="H144" s="310" t="e">
        <f t="shared" si="51"/>
        <v>#DIV/0!</v>
      </c>
      <c r="I144" s="320">
        <f t="shared" si="51"/>
        <v>0</v>
      </c>
      <c r="J144" s="310">
        <f t="shared" si="51"/>
        <v>0</v>
      </c>
      <c r="K144" s="109">
        <f t="shared" si="51"/>
        <v>0</v>
      </c>
      <c r="L144" s="109">
        <f t="shared" si="51"/>
        <v>0</v>
      </c>
      <c r="M144" s="109">
        <f t="shared" si="51"/>
        <v>0</v>
      </c>
      <c r="N144" s="328">
        <f t="shared" si="51"/>
        <v>-4.86</v>
      </c>
      <c r="O144" s="328">
        <f t="shared" si="51"/>
        <v>4.86</v>
      </c>
      <c r="P144" s="310">
        <f t="shared" si="51"/>
        <v>0</v>
      </c>
      <c r="Q144" s="328">
        <f t="shared" si="51"/>
        <v>0</v>
      </c>
      <c r="R144" s="329">
        <f t="shared" si="51"/>
        <v>0</v>
      </c>
      <c r="S144" s="310" t="e">
        <f t="shared" si="51"/>
        <v>#DIV/0!</v>
      </c>
      <c r="T144" s="303"/>
      <c r="U144" s="303"/>
      <c r="V144" s="303"/>
      <c r="W144" s="303"/>
      <c r="X144" s="264" t="e">
        <f t="shared" si="48"/>
        <v>#DIV/0!</v>
      </c>
    </row>
    <row r="145" spans="4:24" ht="15" hidden="1">
      <c r="D145" s="307">
        <f>D136+D137+D138+D139+D140+D141+D142+D143+D144</f>
        <v>181</v>
      </c>
      <c r="E145" s="307">
        <f>E136+E137+E138+E139+E140+E141+E142+E143+E144</f>
        <v>23</v>
      </c>
      <c r="F145" s="308">
        <f>F136+F137+F138+F139+F140+F141+F142+F143+F144</f>
        <v>27.669999999999998</v>
      </c>
      <c r="G145" s="307">
        <f>F145-E145</f>
        <v>4.669999999999998</v>
      </c>
      <c r="H145" s="241">
        <f>F145/E145</f>
        <v>1.2030434782608694</v>
      </c>
      <c r="I145" s="307">
        <f>F145-D145</f>
        <v>-153.33</v>
      </c>
      <c r="J145" s="241">
        <f>F145/D145</f>
        <v>0.15287292817679557</v>
      </c>
      <c r="K145" s="82"/>
      <c r="L145" s="82"/>
      <c r="M145" s="82"/>
      <c r="N145" s="307">
        <f>N136+N137+N138+N139+N140+N141+N142+N143+N144</f>
        <v>1238.34</v>
      </c>
      <c r="O145" s="307">
        <f>D145-N145</f>
        <v>-1057.34</v>
      </c>
      <c r="P145" s="241">
        <f>D145/N145</f>
        <v>0.14616341231002794</v>
      </c>
      <c r="Q145" s="307">
        <f>Q136+Q137+Q138+Q139+Q140+Q141+Q142+Q143+Q144</f>
        <v>29.2</v>
      </c>
      <c r="R145" s="307">
        <f>F145-Q145</f>
        <v>-1.5300000000000011</v>
      </c>
      <c r="S145" s="330">
        <f>F145/Q145</f>
        <v>0.9476027397260274</v>
      </c>
      <c r="T145" s="304"/>
      <c r="U145" s="304"/>
      <c r="V145" s="304"/>
      <c r="W145" s="304"/>
      <c r="X145" s="267">
        <f t="shared" si="48"/>
        <v>0.8014393274159994</v>
      </c>
    </row>
    <row r="146" spans="19:24" ht="15" hidden="1">
      <c r="S146" s="64"/>
      <c r="T146" s="304"/>
      <c r="U146" s="304"/>
      <c r="V146" s="304"/>
      <c r="W146" s="304"/>
      <c r="X146" s="264"/>
    </row>
    <row r="147" spans="2:24" ht="15" hidden="1">
      <c r="B147" s="219" t="s">
        <v>131</v>
      </c>
      <c r="S147" s="64"/>
      <c r="T147" s="304"/>
      <c r="U147" s="304"/>
      <c r="V147" s="304"/>
      <c r="W147" s="304"/>
      <c r="X147" s="264"/>
    </row>
    <row r="148" spans="1:24" s="6" customFormat="1" ht="30.75" hidden="1">
      <c r="A148" s="8"/>
      <c r="B148" s="251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4">
        <f t="shared" si="52"/>
        <v>22010300</v>
      </c>
      <c r="D148" s="313">
        <f t="shared" si="52"/>
        <v>265</v>
      </c>
      <c r="E148" s="313">
        <f t="shared" si="52"/>
        <v>85</v>
      </c>
      <c r="F148" s="315">
        <f t="shared" si="52"/>
        <v>89.19</v>
      </c>
      <c r="G148" s="313">
        <f t="shared" si="52"/>
        <v>4.189999999999998</v>
      </c>
      <c r="H148" s="311">
        <f t="shared" si="52"/>
        <v>1.0492941176470587</v>
      </c>
      <c r="I148" s="313">
        <f t="shared" si="52"/>
        <v>-175.81</v>
      </c>
      <c r="J148" s="311">
        <f t="shared" si="52"/>
        <v>0.33656603773584903</v>
      </c>
      <c r="K148" s="108">
        <f t="shared" si="52"/>
        <v>0</v>
      </c>
      <c r="L148" s="108">
        <f t="shared" si="52"/>
        <v>0</v>
      </c>
      <c r="M148" s="108">
        <f t="shared" si="52"/>
        <v>0</v>
      </c>
      <c r="N148" s="313">
        <f t="shared" si="52"/>
        <v>1205.14</v>
      </c>
      <c r="O148" s="313">
        <f t="shared" si="52"/>
        <v>-940.1400000000001</v>
      </c>
      <c r="P148" s="311">
        <f t="shared" si="52"/>
        <v>0.21989146489204572</v>
      </c>
      <c r="Q148" s="313">
        <f t="shared" si="52"/>
        <v>89.45</v>
      </c>
      <c r="R148" s="316">
        <f t="shared" si="52"/>
        <v>-0.2600000000000051</v>
      </c>
      <c r="S148" s="311">
        <f t="shared" si="52"/>
        <v>0.9970933482392398</v>
      </c>
      <c r="T148" s="301"/>
      <c r="U148" s="301"/>
      <c r="V148" s="301"/>
      <c r="W148" s="301"/>
      <c r="X148" s="264">
        <f aca="true" t="shared" si="53" ref="X148:X153">S148-P148</f>
        <v>0.7772018833471941</v>
      </c>
    </row>
    <row r="149" spans="1:24" s="6" customFormat="1" ht="15" hidden="1">
      <c r="A149" s="8"/>
      <c r="B149" s="251" t="str">
        <f t="shared" si="52"/>
        <v>Плата за сертифікати</v>
      </c>
      <c r="C149" s="294">
        <f t="shared" si="52"/>
        <v>22010200</v>
      </c>
      <c r="D149" s="313">
        <f t="shared" si="52"/>
        <v>0</v>
      </c>
      <c r="E149" s="313">
        <f t="shared" si="52"/>
        <v>0</v>
      </c>
      <c r="F149" s="315">
        <f t="shared" si="52"/>
        <v>0</v>
      </c>
      <c r="G149" s="313">
        <f t="shared" si="52"/>
        <v>0</v>
      </c>
      <c r="H149" s="311" t="e">
        <f t="shared" si="52"/>
        <v>#DIV/0!</v>
      </c>
      <c r="I149" s="313">
        <f t="shared" si="52"/>
        <v>0</v>
      </c>
      <c r="J149" s="311" t="e">
        <f t="shared" si="52"/>
        <v>#DIV/0!</v>
      </c>
      <c r="K149" s="108">
        <f t="shared" si="52"/>
        <v>0</v>
      </c>
      <c r="L149" s="108">
        <f t="shared" si="52"/>
        <v>0</v>
      </c>
      <c r="M149" s="108">
        <f t="shared" si="52"/>
        <v>0</v>
      </c>
      <c r="N149" s="313">
        <f t="shared" si="52"/>
        <v>23.38</v>
      </c>
      <c r="O149" s="313">
        <f t="shared" si="52"/>
        <v>-23.38</v>
      </c>
      <c r="P149" s="311">
        <f t="shared" si="52"/>
        <v>0</v>
      </c>
      <c r="Q149" s="313">
        <f t="shared" si="52"/>
        <v>0</v>
      </c>
      <c r="R149" s="316">
        <f t="shared" si="52"/>
        <v>0</v>
      </c>
      <c r="S149" s="311">
        <f t="shared" si="52"/>
        <v>0</v>
      </c>
      <c r="T149" s="301"/>
      <c r="U149" s="301"/>
      <c r="V149" s="301"/>
      <c r="W149" s="301"/>
      <c r="X149" s="264">
        <f t="shared" si="53"/>
        <v>0</v>
      </c>
    </row>
    <row r="150" spans="1:24" s="6" customFormat="1" ht="15" hidden="1">
      <c r="A150" s="8"/>
      <c r="B150" s="257" t="str">
        <f t="shared" si="52"/>
        <v>Плата за надання інших адміністративних послуг</v>
      </c>
      <c r="C150" s="295">
        <f t="shared" si="52"/>
        <v>22012500</v>
      </c>
      <c r="D150" s="314">
        <f t="shared" si="52"/>
        <v>4900</v>
      </c>
      <c r="E150" s="314">
        <f t="shared" si="52"/>
        <v>1500</v>
      </c>
      <c r="F150" s="332">
        <f t="shared" si="52"/>
        <v>1894.1</v>
      </c>
      <c r="G150" s="314">
        <f t="shared" si="52"/>
        <v>394.0999999999999</v>
      </c>
      <c r="H150" s="312">
        <f t="shared" si="52"/>
        <v>1.2627333333333333</v>
      </c>
      <c r="I150" s="314">
        <f t="shared" si="52"/>
        <v>-3005.9</v>
      </c>
      <c r="J150" s="312">
        <f t="shared" si="52"/>
        <v>0.38655102040816325</v>
      </c>
      <c r="K150" s="30">
        <f t="shared" si="52"/>
        <v>0</v>
      </c>
      <c r="L150" s="30">
        <f t="shared" si="52"/>
        <v>0</v>
      </c>
      <c r="M150" s="30">
        <f t="shared" si="52"/>
        <v>0</v>
      </c>
      <c r="N150" s="314">
        <f t="shared" si="52"/>
        <v>20110.14</v>
      </c>
      <c r="O150" s="314">
        <f t="shared" si="52"/>
        <v>-15210.14</v>
      </c>
      <c r="P150" s="312">
        <f t="shared" si="52"/>
        <v>0.2436581744333953</v>
      </c>
      <c r="Q150" s="314">
        <f t="shared" si="52"/>
        <v>1052.56</v>
      </c>
      <c r="R150" s="333">
        <f t="shared" si="52"/>
        <v>841.54</v>
      </c>
      <c r="S150" s="312">
        <f t="shared" si="52"/>
        <v>1.7995173671809683</v>
      </c>
      <c r="T150" s="305"/>
      <c r="U150" s="305"/>
      <c r="V150" s="305"/>
      <c r="W150" s="305"/>
      <c r="X150" s="264">
        <f t="shared" si="53"/>
        <v>1.5558591927475731</v>
      </c>
    </row>
    <row r="151" spans="1:24" s="6" customFormat="1" ht="30.75" hidden="1">
      <c r="A151" s="8"/>
      <c r="B151" s="257" t="str">
        <f t="shared" si="52"/>
        <v>Адміністративний збір за державну реєстрацію речових прав на нерухоме майно та їх обтяжень</v>
      </c>
      <c r="C151" s="295">
        <f t="shared" si="52"/>
        <v>22012600</v>
      </c>
      <c r="D151" s="314">
        <f t="shared" si="52"/>
        <v>255</v>
      </c>
      <c r="E151" s="314">
        <f t="shared" si="52"/>
        <v>85</v>
      </c>
      <c r="F151" s="332">
        <f t="shared" si="52"/>
        <v>59.37</v>
      </c>
      <c r="G151" s="314">
        <f t="shared" si="52"/>
        <v>-25.630000000000003</v>
      </c>
      <c r="H151" s="312">
        <f t="shared" si="52"/>
        <v>0.6984705882352941</v>
      </c>
      <c r="I151" s="314">
        <f t="shared" si="52"/>
        <v>-195.63</v>
      </c>
      <c r="J151" s="312">
        <f t="shared" si="52"/>
        <v>0.2328235294117647</v>
      </c>
      <c r="K151" s="30">
        <f t="shared" si="52"/>
        <v>0</v>
      </c>
      <c r="L151" s="30">
        <f t="shared" si="52"/>
        <v>0</v>
      </c>
      <c r="M151" s="30">
        <f t="shared" si="52"/>
        <v>0</v>
      </c>
      <c r="N151" s="314">
        <f t="shared" si="52"/>
        <v>710.04</v>
      </c>
      <c r="O151" s="314">
        <f t="shared" si="52"/>
        <v>-455.03999999999996</v>
      </c>
      <c r="P151" s="312">
        <f t="shared" si="52"/>
        <v>0.3591346966368092</v>
      </c>
      <c r="Q151" s="314">
        <f t="shared" si="52"/>
        <v>44.53</v>
      </c>
      <c r="R151" s="333">
        <f t="shared" si="52"/>
        <v>14.839999999999996</v>
      </c>
      <c r="S151" s="312">
        <f t="shared" si="52"/>
        <v>1.3332584774309453</v>
      </c>
      <c r="T151" s="305"/>
      <c r="U151" s="305"/>
      <c r="V151" s="305"/>
      <c r="W151" s="305"/>
      <c r="X151" s="264">
        <f t="shared" si="53"/>
        <v>0.9741237807941361</v>
      </c>
    </row>
    <row r="152" spans="1:24" s="6" customFormat="1" ht="30.75" hidden="1">
      <c r="A152" s="8"/>
      <c r="B152" s="257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5">
        <f t="shared" si="52"/>
        <v>22012900</v>
      </c>
      <c r="D152" s="314">
        <f t="shared" si="52"/>
        <v>3</v>
      </c>
      <c r="E152" s="314">
        <f t="shared" si="52"/>
        <v>1</v>
      </c>
      <c r="F152" s="332">
        <f t="shared" si="52"/>
        <v>1.06</v>
      </c>
      <c r="G152" s="314">
        <f t="shared" si="52"/>
        <v>0.06000000000000005</v>
      </c>
      <c r="H152" s="312">
        <f t="shared" si="52"/>
        <v>1.06</v>
      </c>
      <c r="I152" s="314">
        <f t="shared" si="52"/>
        <v>-1.94</v>
      </c>
      <c r="J152" s="312">
        <f t="shared" si="52"/>
        <v>0.35333333333333333</v>
      </c>
      <c r="K152" s="30">
        <f t="shared" si="52"/>
        <v>0</v>
      </c>
      <c r="L152" s="30">
        <f t="shared" si="52"/>
        <v>0</v>
      </c>
      <c r="M152" s="30">
        <f t="shared" si="52"/>
        <v>0</v>
      </c>
      <c r="N152" s="314">
        <f t="shared" si="52"/>
        <v>41.44</v>
      </c>
      <c r="O152" s="314">
        <f t="shared" si="52"/>
        <v>-38.44</v>
      </c>
      <c r="P152" s="312">
        <f t="shared" si="52"/>
        <v>0.0723938223938224</v>
      </c>
      <c r="Q152" s="314">
        <f t="shared" si="52"/>
        <v>0</v>
      </c>
      <c r="R152" s="333">
        <f t="shared" si="52"/>
        <v>1.06</v>
      </c>
      <c r="S152" s="312" t="e">
        <f t="shared" si="52"/>
        <v>#DIV/0!</v>
      </c>
      <c r="T152" s="305"/>
      <c r="U152" s="305"/>
      <c r="V152" s="305"/>
      <c r="W152" s="305"/>
      <c r="X152" s="264" t="e">
        <f t="shared" si="53"/>
        <v>#DIV/0!</v>
      </c>
    </row>
    <row r="153" spans="2:24" ht="15" hidden="1">
      <c r="B153" s="219" t="s">
        <v>131</v>
      </c>
      <c r="C153" s="337">
        <v>22010000</v>
      </c>
      <c r="D153" s="307">
        <f>D148+D149+D150+D151+D152</f>
        <v>5423</v>
      </c>
      <c r="E153" s="307">
        <f>E148+E149+E150+E151+E152</f>
        <v>1671</v>
      </c>
      <c r="F153" s="308">
        <f>F148+F149+F150+F151+F152</f>
        <v>2043.7199999999998</v>
      </c>
      <c r="G153" s="307">
        <f>F153-E153</f>
        <v>372.7199999999998</v>
      </c>
      <c r="H153" s="241">
        <f>F153/E153</f>
        <v>1.2230520646319567</v>
      </c>
      <c r="I153" s="307">
        <f>F153-D153</f>
        <v>-3379.28</v>
      </c>
      <c r="J153" s="241">
        <f>F153/D153</f>
        <v>0.37686151576618104</v>
      </c>
      <c r="K153" s="82"/>
      <c r="L153" s="82"/>
      <c r="M153" s="82"/>
      <c r="N153" s="307">
        <f>N148+N149+N150+N151+N152</f>
        <v>22090.14</v>
      </c>
      <c r="O153" s="307">
        <f>D153-N153</f>
        <v>-16667.14</v>
      </c>
      <c r="P153" s="241">
        <f>D153/N153</f>
        <v>0.24549414354096444</v>
      </c>
      <c r="Q153" s="307">
        <f>Q148+Q149+Q150+Q151+Q152</f>
        <v>1186.54</v>
      </c>
      <c r="R153" s="307">
        <f>F153-Q153</f>
        <v>857.1799999999998</v>
      </c>
      <c r="S153" s="241">
        <f>F153/Q153</f>
        <v>1.7224198088560014</v>
      </c>
      <c r="T153" s="304"/>
      <c r="U153" s="304"/>
      <c r="V153" s="304"/>
      <c r="W153" s="304"/>
      <c r="X153" s="267">
        <f t="shared" si="53"/>
        <v>1.4769256653150369</v>
      </c>
    </row>
    <row r="154" spans="20:24" ht="15" hidden="1">
      <c r="T154" s="304"/>
      <c r="U154" s="304"/>
      <c r="V154" s="304"/>
      <c r="W154" s="304"/>
      <c r="X154" s="264"/>
    </row>
    <row r="155" spans="20:24" ht="15" hidden="1">
      <c r="T155" s="304"/>
      <c r="U155" s="304"/>
      <c r="V155" s="304"/>
      <c r="W155" s="304"/>
      <c r="X155" s="264"/>
    </row>
    <row r="156" spans="2:24" ht="15" hidden="1">
      <c r="B156" s="219" t="s">
        <v>144</v>
      </c>
      <c r="T156" s="304"/>
      <c r="U156" s="304"/>
      <c r="V156" s="304"/>
      <c r="W156" s="304"/>
      <c r="X156" s="264"/>
    </row>
    <row r="157" spans="1:24" s="6" customFormat="1" ht="15.75" customHeight="1" hidden="1">
      <c r="A157" s="8"/>
      <c r="B157" s="258" t="str">
        <f>B72</f>
        <v>Інші надходження</v>
      </c>
      <c r="C157" s="297" t="str">
        <f>C72</f>
        <v>24060300</v>
      </c>
      <c r="D157" s="328">
        <f aca="true" t="shared" si="54" ref="D157:S157">D72</f>
        <v>1500</v>
      </c>
      <c r="E157" s="328">
        <f t="shared" si="54"/>
        <v>500</v>
      </c>
      <c r="F157" s="334">
        <f t="shared" si="54"/>
        <v>568.65</v>
      </c>
      <c r="G157" s="328">
        <f t="shared" si="54"/>
        <v>68.64999999999998</v>
      </c>
      <c r="H157" s="310">
        <f t="shared" si="54"/>
        <v>1.1373</v>
      </c>
      <c r="I157" s="328">
        <f t="shared" si="54"/>
        <v>-931.35</v>
      </c>
      <c r="J157" s="310">
        <f t="shared" si="54"/>
        <v>0.3791</v>
      </c>
      <c r="K157" s="296">
        <f t="shared" si="54"/>
        <v>0</v>
      </c>
      <c r="L157" s="296">
        <f t="shared" si="54"/>
        <v>0</v>
      </c>
      <c r="M157" s="296">
        <f t="shared" si="54"/>
        <v>0</v>
      </c>
      <c r="N157" s="328">
        <f t="shared" si="54"/>
        <v>8086.92</v>
      </c>
      <c r="O157" s="328">
        <f t="shared" si="54"/>
        <v>-6586.92</v>
      </c>
      <c r="P157" s="310">
        <f t="shared" si="54"/>
        <v>0.18548470864061967</v>
      </c>
      <c r="Q157" s="328">
        <f t="shared" si="54"/>
        <v>2247.33</v>
      </c>
      <c r="R157" s="328">
        <f t="shared" si="54"/>
        <v>-1678.6799999999998</v>
      </c>
      <c r="S157" s="310">
        <f t="shared" si="54"/>
        <v>0.2530335998718479</v>
      </c>
      <c r="T157" s="306"/>
      <c r="U157" s="306"/>
      <c r="V157" s="306"/>
      <c r="W157" s="306"/>
      <c r="X157" s="264">
        <f>S157-P157</f>
        <v>0.06754889123122826</v>
      </c>
    </row>
    <row r="158" spans="1:24" s="6" customFormat="1" ht="44.25" customHeight="1" hidden="1">
      <c r="A158" s="8"/>
      <c r="B158" s="258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7">
        <f>C76</f>
        <v>24061900</v>
      </c>
      <c r="D158" s="328">
        <f aca="true" t="shared" si="55" ref="D158:S158">D76</f>
        <v>10</v>
      </c>
      <c r="E158" s="328">
        <f t="shared" si="55"/>
        <v>10</v>
      </c>
      <c r="F158" s="334">
        <f t="shared" si="55"/>
        <v>0</v>
      </c>
      <c r="G158" s="328">
        <f t="shared" si="55"/>
        <v>-10</v>
      </c>
      <c r="H158" s="310">
        <f t="shared" si="55"/>
        <v>0</v>
      </c>
      <c r="I158" s="328">
        <f t="shared" si="55"/>
        <v>-10</v>
      </c>
      <c r="J158" s="310">
        <f t="shared" si="55"/>
        <v>0</v>
      </c>
      <c r="K158" s="296">
        <f t="shared" si="55"/>
        <v>0</v>
      </c>
      <c r="L158" s="296">
        <f t="shared" si="55"/>
        <v>0</v>
      </c>
      <c r="M158" s="296">
        <f t="shared" si="55"/>
        <v>0</v>
      </c>
      <c r="N158" s="328">
        <f t="shared" si="55"/>
        <v>142.18</v>
      </c>
      <c r="O158" s="328">
        <f t="shared" si="55"/>
        <v>-132.18</v>
      </c>
      <c r="P158" s="310">
        <f t="shared" si="55"/>
        <v>0.07033338022225348</v>
      </c>
      <c r="Q158" s="328">
        <f t="shared" si="55"/>
        <v>32.89</v>
      </c>
      <c r="R158" s="328">
        <f t="shared" si="55"/>
        <v>-32.89</v>
      </c>
      <c r="S158" s="310">
        <f t="shared" si="55"/>
        <v>0</v>
      </c>
      <c r="T158" s="306"/>
      <c r="U158" s="306"/>
      <c r="V158" s="306"/>
      <c r="W158" s="306"/>
      <c r="X158" s="264">
        <f>S158-P158</f>
        <v>-0.07033338022225348</v>
      </c>
    </row>
    <row r="159" spans="2:24" ht="15" hidden="1">
      <c r="B159" s="219" t="s">
        <v>144</v>
      </c>
      <c r="C159" s="336">
        <v>24060000</v>
      </c>
      <c r="D159" s="307">
        <f>D157+D158</f>
        <v>1510</v>
      </c>
      <c r="E159" s="307">
        <f>E157+E158</f>
        <v>510</v>
      </c>
      <c r="F159" s="308">
        <f>F157+F158</f>
        <v>568.65</v>
      </c>
      <c r="G159" s="309">
        <f>F159-E159</f>
        <v>58.64999999999998</v>
      </c>
      <c r="H159" s="241">
        <f>F159/E159</f>
        <v>1.115</v>
      </c>
      <c r="I159" s="307">
        <f>F159-D159</f>
        <v>-941.35</v>
      </c>
      <c r="J159" s="241">
        <f>F159/D159</f>
        <v>0.37658940397350993</v>
      </c>
      <c r="K159" s="82"/>
      <c r="L159" s="82"/>
      <c r="M159" s="82"/>
      <c r="N159" s="307">
        <f>N157+N158</f>
        <v>8229.1</v>
      </c>
      <c r="O159" s="307">
        <f>D159-N159</f>
        <v>-6719.1</v>
      </c>
      <c r="P159" s="241">
        <f>D159/N159</f>
        <v>0.18349515742912348</v>
      </c>
      <c r="Q159" s="307">
        <f>Q157+Q158</f>
        <v>2280.22</v>
      </c>
      <c r="R159" s="307">
        <f>F159-Q159</f>
        <v>-1711.5699999999997</v>
      </c>
      <c r="S159" s="241">
        <f>F159/Q159</f>
        <v>0.24938383138469097</v>
      </c>
      <c r="T159" s="304"/>
      <c r="U159" s="304"/>
      <c r="V159" s="304"/>
      <c r="W159" s="304"/>
      <c r="X159" s="267">
        <f>S159-P159</f>
        <v>0.0658886739555675</v>
      </c>
    </row>
    <row r="160" spans="20:23" ht="15" hidden="1">
      <c r="T160" s="304"/>
      <c r="U160" s="304"/>
      <c r="V160" s="304"/>
      <c r="W160" s="304"/>
    </row>
    <row r="161" spans="20:23" ht="15" hidden="1">
      <c r="T161" s="304"/>
      <c r="U161" s="304"/>
      <c r="V161" s="304"/>
      <c r="W161" s="304"/>
    </row>
    <row r="162" spans="20:23" ht="15" hidden="1">
      <c r="T162" s="304"/>
      <c r="U162" s="304"/>
      <c r="V162" s="304"/>
      <c r="W162" s="304"/>
    </row>
    <row r="163" spans="20:23" ht="15" hidden="1">
      <c r="T163" s="304"/>
      <c r="U163" s="304"/>
      <c r="V163" s="304"/>
      <c r="W163" s="304"/>
    </row>
    <row r="164" spans="20:23" ht="15" hidden="1">
      <c r="T164" s="304"/>
      <c r="U164" s="304"/>
      <c r="V164" s="304"/>
      <c r="W164" s="304"/>
    </row>
    <row r="165" spans="20:23" ht="15" hidden="1">
      <c r="T165" s="304"/>
      <c r="U165" s="304"/>
      <c r="V165" s="304"/>
      <c r="W165" s="304"/>
    </row>
    <row r="166" spans="20:23" ht="15">
      <c r="T166" s="304"/>
      <c r="U166" s="304"/>
      <c r="V166" s="304"/>
      <c r="W166" s="304"/>
    </row>
    <row r="167" spans="20:23" ht="15">
      <c r="T167" s="304"/>
      <c r="U167" s="304"/>
      <c r="V167" s="304"/>
      <c r="W167" s="304"/>
    </row>
    <row r="168" spans="20:23" ht="15">
      <c r="T168" s="304"/>
      <c r="U168" s="304"/>
      <c r="V168" s="304"/>
      <c r="W168" s="304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2018-02-07T13:30:15Z</cp:lastPrinted>
  <dcterms:created xsi:type="dcterms:W3CDTF">2003-07-28T11:27:56Z</dcterms:created>
  <dcterms:modified xsi:type="dcterms:W3CDTF">2018-02-07T13:54:15Z</dcterms:modified>
  <cp:category/>
  <cp:version/>
  <cp:contentType/>
  <cp:contentStatus/>
</cp:coreProperties>
</file>